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ropbox\Mój komputer (hp-spectre)\Desktop\backup\LBT\do ebooka\"/>
    </mc:Choice>
  </mc:AlternateContent>
  <bookViews>
    <workbookView xWindow="0" yWindow="0" windowWidth="19200" windowHeight="6730" firstSheet="2" activeTab="2"/>
  </bookViews>
  <sheets>
    <sheet name="Arkusz1" sheetId="1" state="hidden" r:id="rId1"/>
    <sheet name="roboczy" sheetId="2" state="hidden" r:id="rId2"/>
    <sheet name="kalkulator" sheetId="5" r:id="rId3"/>
    <sheet name="Arkusz3" sheetId="3" state="hidden" r:id="rId4"/>
    <sheet name="www " sheetId="6" state="hidden" r:id="rId5"/>
  </sheets>
  <definedNames>
    <definedName name="wibor.money.pl" localSheetId="4">'www '!$B$3:$G$12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G19" i="5"/>
  <c r="J14" i="5" l="1"/>
  <c r="I24" i="5" s="1"/>
  <c r="H14" i="5"/>
  <c r="G24" i="5" s="1"/>
  <c r="I14" i="5"/>
  <c r="H13" i="5"/>
  <c r="H11" i="5"/>
  <c r="I23" i="5" s="1"/>
  <c r="J13" i="2"/>
  <c r="I18" i="2" s="1"/>
  <c r="G18" i="2"/>
  <c r="G25" i="2"/>
  <c r="P12" i="5" l="1"/>
  <c r="I25" i="5" s="1"/>
  <c r="P17" i="5" s="1"/>
  <c r="P16" i="5" s="1"/>
  <c r="P13" i="5" s="1"/>
  <c r="G23" i="5"/>
  <c r="N12" i="5" s="1"/>
  <c r="H23" i="5"/>
  <c r="H24" i="5"/>
  <c r="O12" i="5" l="1"/>
  <c r="O14" i="5" s="1"/>
  <c r="O15" i="5" s="1"/>
  <c r="G25" i="5"/>
  <c r="N17" i="5" s="1"/>
  <c r="N16" i="5" s="1"/>
  <c r="P14" i="5"/>
  <c r="P15" i="5" s="1"/>
  <c r="H25" i="5" l="1"/>
  <c r="O17" i="5" s="1"/>
  <c r="O16" i="5" s="1"/>
  <c r="O13" i="5" s="1"/>
  <c r="G26" i="2"/>
  <c r="I13" i="2" s="1"/>
  <c r="H18" i="2" s="1"/>
  <c r="H14" i="2" l="1"/>
  <c r="I17" i="2" l="1"/>
  <c r="P8" i="2" s="1"/>
  <c r="H17" i="2"/>
  <c r="O8" i="2" s="1"/>
  <c r="H12" i="2"/>
  <c r="H10" i="2"/>
  <c r="G17" i="2" s="1"/>
  <c r="P9" i="2" l="1"/>
  <c r="I19" i="2"/>
  <c r="P14" i="2" s="1"/>
  <c r="P12" i="2" s="1"/>
  <c r="C5" i="3"/>
  <c r="N8" i="2"/>
  <c r="C29" i="3" s="1"/>
  <c r="H19" i="2" l="1"/>
  <c r="O9" i="2"/>
  <c r="N9" i="2"/>
  <c r="C15" i="3"/>
  <c r="C28" i="3"/>
  <c r="C18" i="3"/>
  <c r="C11" i="3"/>
  <c r="C22" i="3"/>
  <c r="C20" i="3"/>
  <c r="C9" i="3"/>
  <c r="G19" i="2"/>
  <c r="N14" i="2" s="1"/>
  <c r="N12" i="2" s="1"/>
  <c r="C26" i="3"/>
  <c r="C21" i="3"/>
  <c r="C23" i="3"/>
  <c r="C14" i="3"/>
  <c r="C8" i="3"/>
  <c r="C7" i="3"/>
  <c r="C16" i="3"/>
  <c r="C13" i="3"/>
  <c r="C89" i="3"/>
  <c r="C79" i="3"/>
  <c r="C83" i="3"/>
  <c r="C87" i="3"/>
  <c r="C88" i="3"/>
  <c r="C78" i="3"/>
  <c r="C80" i="3"/>
  <c r="C84" i="3"/>
  <c r="C85" i="3"/>
  <c r="C82" i="3"/>
  <c r="C81" i="3"/>
  <c r="C86" i="3"/>
  <c r="C43" i="3"/>
  <c r="C47" i="3"/>
  <c r="C51" i="3"/>
  <c r="C55" i="3"/>
  <c r="C59" i="3"/>
  <c r="C63" i="3"/>
  <c r="C67" i="3"/>
  <c r="C71" i="3"/>
  <c r="C75" i="3"/>
  <c r="C31" i="3"/>
  <c r="C35" i="3"/>
  <c r="C39" i="3"/>
  <c r="C54" i="3"/>
  <c r="C66" i="3"/>
  <c r="C30" i="3"/>
  <c r="C42" i="3"/>
  <c r="C44" i="3"/>
  <c r="C48" i="3"/>
  <c r="C52" i="3"/>
  <c r="C56" i="3"/>
  <c r="C60" i="3"/>
  <c r="C64" i="3"/>
  <c r="C68" i="3"/>
  <c r="C72" i="3"/>
  <c r="C76" i="3"/>
  <c r="C32" i="3"/>
  <c r="C36" i="3"/>
  <c r="C40" i="3"/>
  <c r="C50" i="3"/>
  <c r="C62" i="3"/>
  <c r="C74" i="3"/>
  <c r="C38" i="3"/>
  <c r="C45" i="3"/>
  <c r="C49" i="3"/>
  <c r="C53" i="3"/>
  <c r="C57" i="3"/>
  <c r="C61" i="3"/>
  <c r="C65" i="3"/>
  <c r="C69" i="3"/>
  <c r="C73" i="3"/>
  <c r="C77" i="3"/>
  <c r="C33" i="3"/>
  <c r="C37" i="3"/>
  <c r="C41" i="3"/>
  <c r="C46" i="3"/>
  <c r="C58" i="3"/>
  <c r="C70" i="3"/>
  <c r="C34" i="3"/>
  <c r="C27" i="3"/>
  <c r="C17" i="3"/>
  <c r="C10" i="3"/>
  <c r="C12" i="3"/>
  <c r="C6" i="3"/>
  <c r="C19" i="3"/>
  <c r="C24" i="3"/>
  <c r="C25" i="3"/>
  <c r="O14" i="2" l="1"/>
  <c r="O12" i="2" s="1"/>
  <c r="E5" i="3"/>
  <c r="F5" i="3" s="1"/>
  <c r="N20" i="2" l="1"/>
  <c r="N22" i="2" s="1"/>
  <c r="J11" i="3"/>
  <c r="J13" i="3" l="1"/>
  <c r="J14" i="3"/>
  <c r="G18" i="1" l="1"/>
  <c r="H12" i="1"/>
  <c r="H10" i="1"/>
  <c r="G17" i="1" s="1"/>
  <c r="N8" i="1" l="1"/>
  <c r="N9" i="1" s="1"/>
  <c r="G19" i="1" l="1"/>
  <c r="N14" i="1" s="1"/>
  <c r="N12" i="1" s="1"/>
  <c r="N13" i="5" l="1"/>
</calcChain>
</file>

<file path=xl/connections.xml><?xml version="1.0" encoding="utf-8"?>
<connections xmlns="http://schemas.openxmlformats.org/spreadsheetml/2006/main">
  <connection id="1" name="Połączenie2" type="4" refreshedVersion="5" refreshOnLoad="1" saveData="1">
    <webPr sourceData="1" parsePre="1" consecutive="1" xl2000="1" url="https://wibor.money.pl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<sst xmlns="http://schemas.openxmlformats.org/spreadsheetml/2006/main" count="204" uniqueCount="157">
  <si>
    <t>Okres finansowania (miesiące)</t>
  </si>
  <si>
    <t>Wykup (RV)</t>
  </si>
  <si>
    <t>Prowizja</t>
  </si>
  <si>
    <t>procenty</t>
  </si>
  <si>
    <t>kowta</t>
  </si>
  <si>
    <t>WIBOR</t>
  </si>
  <si>
    <t>Oprocentowanie miesięczne</t>
  </si>
  <si>
    <t>Rata finansowania</t>
  </si>
  <si>
    <t>Wskaźnik % raty</t>
  </si>
  <si>
    <t>Suma opłat leasingowych</t>
  </si>
  <si>
    <t>Wartość przedmiotu leasingu (kwota netto)</t>
  </si>
  <si>
    <t>Wartość opłaty wstępnej (OW)</t>
  </si>
  <si>
    <t>KALKULATOR DO PRAWDIŁOWEGO WYLICZENIA SUMY OPŁAT LEASINGOWYCH</t>
  </si>
  <si>
    <t>Wypełnij tylko szare pola</t>
  </si>
  <si>
    <t>Dane dodatkowe:</t>
  </si>
  <si>
    <t>Wartośc leasingu (kwota finansowana)</t>
  </si>
  <si>
    <t>Roczna wartość oprocentowania (wibor+marża)</t>
  </si>
  <si>
    <t>Suma zapłaconych rat</t>
  </si>
  <si>
    <t>Łączny koszt leasingu</t>
  </si>
  <si>
    <t>Płatność</t>
  </si>
  <si>
    <t>Kwota</t>
  </si>
  <si>
    <t>IRR</t>
  </si>
  <si>
    <t>IRR - Rok</t>
  </si>
  <si>
    <t>Wartość środka trwałego minus opłata wstępna</t>
  </si>
  <si>
    <t>Rata nr 1</t>
  </si>
  <si>
    <t>Rata nr 2</t>
  </si>
  <si>
    <t>Rata nr 3</t>
  </si>
  <si>
    <t>Rata nr 4</t>
  </si>
  <si>
    <t>Rata nr 5</t>
  </si>
  <si>
    <t>Rata nr 6</t>
  </si>
  <si>
    <t>Rata nr 7</t>
  </si>
  <si>
    <t>Rata nr 8</t>
  </si>
  <si>
    <t>Rata nr 9</t>
  </si>
  <si>
    <t>Rata nr 10</t>
  </si>
  <si>
    <t>Rata nr 11</t>
  </si>
  <si>
    <t>Rata nr 12</t>
  </si>
  <si>
    <t>Rata nr 13</t>
  </si>
  <si>
    <t>Rata nr 14</t>
  </si>
  <si>
    <t>Rata nr 15</t>
  </si>
  <si>
    <t>Rata nr 16</t>
  </si>
  <si>
    <t>Rata nr 17</t>
  </si>
  <si>
    <t>Rata nr 18</t>
  </si>
  <si>
    <t>Rata nr 19</t>
  </si>
  <si>
    <t>Rata nr 20</t>
  </si>
  <si>
    <t>Rata nr 21</t>
  </si>
  <si>
    <t>Rata nr 22</t>
  </si>
  <si>
    <t>Rata nr 23</t>
  </si>
  <si>
    <t>Rata nr 24</t>
  </si>
  <si>
    <t>Rata nr 25</t>
  </si>
  <si>
    <t>Rata nr 26</t>
  </si>
  <si>
    <t>Rata nr 27</t>
  </si>
  <si>
    <t>Rata nr 28</t>
  </si>
  <si>
    <t>Rata nr 29</t>
  </si>
  <si>
    <t>Rata nr 30</t>
  </si>
  <si>
    <t>Rata nr 31</t>
  </si>
  <si>
    <t>Rata nr 32</t>
  </si>
  <si>
    <t>Rata nr 33</t>
  </si>
  <si>
    <t>Rata nr 34</t>
  </si>
  <si>
    <t>Rata nr 35</t>
  </si>
  <si>
    <t>Rata nr 36</t>
  </si>
  <si>
    <t>Rata nr 37</t>
  </si>
  <si>
    <t>Rata nr 38</t>
  </si>
  <si>
    <t>Rata nr 39</t>
  </si>
  <si>
    <t>Rata nr 40</t>
  </si>
  <si>
    <t>Rata nr 41</t>
  </si>
  <si>
    <t>Rata nr 42</t>
  </si>
  <si>
    <t>Rata nr 43</t>
  </si>
  <si>
    <t>Rata nr 44</t>
  </si>
  <si>
    <t>Rata nr 45</t>
  </si>
  <si>
    <t>Rata nr 46</t>
  </si>
  <si>
    <t>Rata nr 47</t>
  </si>
  <si>
    <t>Rata nr 48</t>
  </si>
  <si>
    <t>Rata nr 49</t>
  </si>
  <si>
    <t>Rata nr 50</t>
  </si>
  <si>
    <t>Rata nr 51</t>
  </si>
  <si>
    <t>Rata nr 52</t>
  </si>
  <si>
    <t>Rata nr 53</t>
  </si>
  <si>
    <t>Rata nr 54</t>
  </si>
  <si>
    <t>Rata nr 55</t>
  </si>
  <si>
    <t>Rata nr 56</t>
  </si>
  <si>
    <t>Rata nr 57</t>
  </si>
  <si>
    <t>Rata nr 58</t>
  </si>
  <si>
    <t>Rata nr 59</t>
  </si>
  <si>
    <t>Rata nr 60</t>
  </si>
  <si>
    <t>Rata nr 61</t>
  </si>
  <si>
    <t>Rata nr 62</t>
  </si>
  <si>
    <t>Rata nr 63</t>
  </si>
  <si>
    <t>Rata nr 64</t>
  </si>
  <si>
    <t>Rata nr 65</t>
  </si>
  <si>
    <t>Rata nr 66</t>
  </si>
  <si>
    <t>Rata nr 67</t>
  </si>
  <si>
    <t>Rata nr 68</t>
  </si>
  <si>
    <t>Rata nr 69</t>
  </si>
  <si>
    <t>Rata nr 70</t>
  </si>
  <si>
    <t>Rata nr 71</t>
  </si>
  <si>
    <t>Rata nr 72</t>
  </si>
  <si>
    <t>Rata nr 73</t>
  </si>
  <si>
    <t>Rata nr 74</t>
  </si>
  <si>
    <t>Rata nr 75</t>
  </si>
  <si>
    <t>Rata nr 76</t>
  </si>
  <si>
    <t>Rata nr 77</t>
  </si>
  <si>
    <t>Rata nr 78</t>
  </si>
  <si>
    <t>Rata nr 79</t>
  </si>
  <si>
    <t>Rata nr 80</t>
  </si>
  <si>
    <t>Rata nr 81</t>
  </si>
  <si>
    <t>Rata nr 82</t>
  </si>
  <si>
    <t>Rata nr 83</t>
  </si>
  <si>
    <t>Rata nr 84</t>
  </si>
  <si>
    <t>1M</t>
  </si>
  <si>
    <t>3M</t>
  </si>
  <si>
    <t>Oprocentowanie leasingu (marża + wibor wynosi)</t>
  </si>
  <si>
    <t>Marża leasingodawcy</t>
  </si>
  <si>
    <t>WIBOR 1M</t>
  </si>
  <si>
    <t>WIBOR 3M</t>
  </si>
  <si>
    <t>Wartośc WIBOR przyjęta do symulacji</t>
  </si>
  <si>
    <t>Dane dotyczące marży i oprocentowania</t>
  </si>
  <si>
    <t>Łączne oprocentowanie roczne  leasingu</t>
  </si>
  <si>
    <t>Zastosowana marża do finansowania</t>
  </si>
  <si>
    <t>kwoty netto</t>
  </si>
  <si>
    <t>Wibor</t>
  </si>
  <si>
    <t>WIBOR ON</t>
  </si>
  <si>
    <t>WIBOR TN</t>
  </si>
  <si>
    <t>WIBOR 6M</t>
  </si>
  <si>
    <t>Termin</t>
  </si>
  <si>
    <t>Zmiana [%]</t>
  </si>
  <si>
    <t>Zmiana 3m</t>
  </si>
  <si>
    <t>[%]</t>
  </si>
  <si>
    <t>Zmiana 12m</t>
  </si>
  <si>
    <t>Data wyceny</t>
  </si>
  <si>
    <t>WIBOR 1W</t>
  </si>
  <si>
    <t>WIBOR 2W</t>
  </si>
  <si>
    <t>WIBOR 1Y</t>
  </si>
  <si>
    <t xml:space="preserve">Aktualne wartości WIBOR </t>
  </si>
  <si>
    <t>JAKI WIBOR</t>
  </si>
  <si>
    <t>było</t>
  </si>
  <si>
    <t>będzie</t>
  </si>
  <si>
    <t>nowe proc</t>
  </si>
  <si>
    <t>Może być</t>
  </si>
  <si>
    <t>Wpisz wartość WIBOR (w %)</t>
  </si>
  <si>
    <t>może</t>
  </si>
  <si>
    <t>KALKULATOR WZROSTU RAT LEASINGOWYCH W ZWIĄZKU ZE ZMIANĄ STÓP PROCENTOWYCH</t>
  </si>
  <si>
    <t>Aktualne wartości stawek WIBOR (w %)</t>
  </si>
  <si>
    <t>Hipotetyczne wartości stawek WBIOR (wpisz z ręki)</t>
  </si>
  <si>
    <t>umowa</t>
  </si>
  <si>
    <t>teraz</t>
  </si>
  <si>
    <t>Wartość WIBOR z umowy (w %)</t>
  </si>
  <si>
    <t>Wartość marży zastosowanej do umowy (w %)</t>
  </si>
  <si>
    <t>teraz jest</t>
  </si>
  <si>
    <t xml:space="preserve">umowa </t>
  </si>
  <si>
    <t>może być</t>
  </si>
  <si>
    <t>WYSOKOŚĆ RAT LEASINGOWYCH W ZALEŻNOŚCI OD STÓP</t>
  </si>
  <si>
    <t>Wzrost względem umowy (w zł)</t>
  </si>
  <si>
    <t>Wypełniasz tylko szare pola</t>
  </si>
  <si>
    <t>Wzrost / spadek do umowy (w %)</t>
  </si>
  <si>
    <t>Jaki WIBOR został zastosowany</t>
  </si>
  <si>
    <t>Rata finansowania (kwoty netto)</t>
  </si>
  <si>
    <t>© Copyright 2023 | Leasing bez tajemnic | Wszelkie prawa zastrzeżone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</si>
</sst>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0.0000%"/>
    <numFmt numFmtId="166" formatCode="0.00000%"/>
    <numFmt numFmtId="167" formatCode="#,##0.00000\ &quot;zł&quot;"/>
    <numFmt numFmtId="168" formatCode="_-* #,##0.00\ [$zł-415]_-;\-* #,##0.00\ [$zł-415]_-;_-* &quot;-&quot;??\ [$zł-415]_-;_-@_-"/>
    <numFmt numFmtId="169" formatCode="0.0%"/>
    <numFmt numFmtId="170" formatCode="0.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3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10" fontId="0" fillId="0" borderId="0" xfId="0" applyNumberFormat="1"/>
    <xf numFmtId="0" fontId="0" fillId="2" borderId="0" xfId="0" applyFill="1"/>
    <xf numFmtId="164" fontId="0" fillId="2" borderId="0" xfId="0" applyNumberFormat="1" applyFill="1"/>
    <xf numFmtId="167" fontId="0" fillId="2" borderId="0" xfId="0" applyNumberFormat="1" applyFill="1"/>
    <xf numFmtId="0" fontId="0" fillId="2" borderId="1" xfId="0" applyFill="1" applyBorder="1"/>
    <xf numFmtId="164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164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 applyBorder="1"/>
    <xf numFmtId="0" fontId="2" fillId="2" borderId="1" xfId="0" applyFont="1" applyFill="1" applyBorder="1"/>
    <xf numFmtId="10" fontId="2" fillId="2" borderId="1" xfId="0" applyNumberFormat="1" applyFont="1" applyFill="1" applyBorder="1"/>
    <xf numFmtId="164" fontId="2" fillId="2" borderId="1" xfId="0" applyNumberFormat="1" applyFont="1" applyFill="1" applyBorder="1"/>
    <xf numFmtId="168" fontId="0" fillId="0" borderId="0" xfId="0" applyNumberFormat="1"/>
    <xf numFmtId="0" fontId="6" fillId="0" borderId="5" xfId="0" applyFont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</xf>
    <xf numFmtId="164" fontId="7" fillId="4" borderId="5" xfId="1" applyNumberFormat="1" applyFont="1" applyFill="1" applyBorder="1" applyAlignment="1" applyProtection="1">
      <alignment horizontal="center" vertical="center"/>
    </xf>
    <xf numFmtId="169" fontId="7" fillId="4" borderId="5" xfId="1" applyNumberFormat="1" applyFont="1" applyFill="1" applyBorder="1" applyAlignment="1" applyProtection="1">
      <alignment horizontal="center" vertical="center"/>
    </xf>
    <xf numFmtId="10" fontId="7" fillId="4" borderId="5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4" fontId="7" fillId="0" borderId="0" xfId="1" applyNumberFormat="1" applyFont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 wrapText="1"/>
    </xf>
    <xf numFmtId="164" fontId="7" fillId="4" borderId="0" xfId="1" applyNumberFormat="1" applyFont="1" applyFill="1" applyAlignment="1" applyProtection="1">
      <alignment horizontal="center" vertical="center"/>
    </xf>
    <xf numFmtId="10" fontId="0" fillId="2" borderId="1" xfId="0" applyNumberFormat="1" applyFill="1" applyBorder="1"/>
    <xf numFmtId="14" fontId="0" fillId="0" borderId="0" xfId="0" applyNumberFormat="1"/>
    <xf numFmtId="10" fontId="0" fillId="2" borderId="0" xfId="0" applyNumberFormat="1" applyFill="1" applyBorder="1"/>
    <xf numFmtId="0" fontId="2" fillId="2" borderId="0" xfId="0" applyFont="1" applyFill="1" applyBorder="1"/>
    <xf numFmtId="10" fontId="2" fillId="2" borderId="0" xfId="0" applyNumberFormat="1" applyFont="1" applyFill="1" applyBorder="1"/>
    <xf numFmtId="0" fontId="3" fillId="2" borderId="0" xfId="0" applyFont="1" applyFill="1" applyBorder="1"/>
    <xf numFmtId="164" fontId="0" fillId="3" borderId="1" xfId="0" applyNumberFormat="1" applyFill="1" applyBorder="1" applyAlignment="1" applyProtection="1">
      <alignment horizontal="center"/>
      <protection locked="0"/>
    </xf>
    <xf numFmtId="10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5" fontId="0" fillId="2" borderId="0" xfId="0" applyNumberFormat="1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164" fontId="2" fillId="2" borderId="1" xfId="0" applyNumberFormat="1" applyFont="1" applyFill="1" applyBorder="1" applyProtection="1">
      <protection hidden="1"/>
    </xf>
    <xf numFmtId="165" fontId="0" fillId="2" borderId="6" xfId="0" applyNumberFormat="1" applyFill="1" applyBorder="1" applyProtection="1">
      <protection hidden="1"/>
    </xf>
    <xf numFmtId="0" fontId="0" fillId="2" borderId="1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0" fontId="2" fillId="2" borderId="7" xfId="0" applyNumberFormat="1" applyFont="1" applyFill="1" applyBorder="1" applyProtection="1">
      <protection hidden="1"/>
    </xf>
    <xf numFmtId="10" fontId="0" fillId="2" borderId="7" xfId="0" applyNumberFormat="1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0" fillId="2" borderId="0" xfId="0" applyNumberFormat="1" applyFill="1" applyProtection="1">
      <protection hidden="1"/>
    </xf>
    <xf numFmtId="0" fontId="2" fillId="2" borderId="1" xfId="0" applyFont="1" applyFill="1" applyBorder="1" applyProtection="1">
      <protection hidden="1"/>
    </xf>
    <xf numFmtId="164" fontId="2" fillId="2" borderId="0" xfId="0" applyNumberFormat="1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10" fontId="2" fillId="2" borderId="0" xfId="0" applyNumberFormat="1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3" fillId="2" borderId="0" xfId="0" applyNumberFormat="1" applyFont="1" applyFill="1" applyBorder="1" applyProtection="1">
      <protection hidden="1"/>
    </xf>
    <xf numFmtId="166" fontId="3" fillId="2" borderId="0" xfId="0" applyNumberFormat="1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10" fontId="0" fillId="2" borderId="0" xfId="0" applyNumberFormat="1" applyFill="1" applyProtection="1">
      <protection hidden="1"/>
    </xf>
    <xf numFmtId="0" fontId="4" fillId="2" borderId="0" xfId="0" applyFont="1" applyFill="1" applyProtection="1">
      <protection hidden="1"/>
    </xf>
    <xf numFmtId="10" fontId="3" fillId="2" borderId="1" xfId="0" applyNumberFormat="1" applyFont="1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 applyProtection="1">
      <alignment horizontal="center"/>
      <protection hidden="1"/>
    </xf>
    <xf numFmtId="170" fontId="3" fillId="2" borderId="0" xfId="0" applyNumberFormat="1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center"/>
      <protection hidden="1"/>
    </xf>
    <xf numFmtId="0" fontId="0" fillId="2" borderId="1" xfId="0" applyNumberFormat="1" applyFill="1" applyBorder="1" applyAlignment="1" applyProtection="1">
      <alignment horizontal="center"/>
      <protection hidden="1"/>
    </xf>
    <xf numFmtId="10" fontId="0" fillId="2" borderId="0" xfId="0" applyNumberForma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0" fillId="2" borderId="1" xfId="0" applyFill="1" applyBorder="1" applyAlignment="1"/>
    <xf numFmtId="0" fontId="0" fillId="0" borderId="1" xfId="0" applyBorder="1" applyAlignment="1"/>
    <xf numFmtId="0" fontId="0" fillId="2" borderId="2" xfId="0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2" borderId="0" xfId="0" applyFont="1" applyFill="1" applyAlignment="1"/>
    <xf numFmtId="0" fontId="5" fillId="0" borderId="0" xfId="0" applyFont="1" applyAlignment="1"/>
    <xf numFmtId="0" fontId="3" fillId="2" borderId="0" xfId="0" applyFont="1" applyFill="1" applyBorder="1" applyAlignment="1" applyProtection="1">
      <protection hidden="1"/>
    </xf>
    <xf numFmtId="0" fontId="0" fillId="2" borderId="0" xfId="0" applyFill="1" applyBorder="1" applyAlignment="1"/>
    <xf numFmtId="0" fontId="0" fillId="2" borderId="0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0" fontId="5" fillId="0" borderId="0" xfId="0" applyFont="1" applyAlignment="1" applyProtection="1"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protection hidden="1"/>
    </xf>
    <xf numFmtId="0" fontId="2" fillId="0" borderId="1" xfId="0" applyFont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8" fillId="2" borderId="0" xfId="0" applyFont="1" applyFill="1" applyBorder="1" applyAlignment="1" applyProtection="1"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38893</xdr:colOff>
      <xdr:row>0</xdr:row>
      <xdr:rowOff>0</xdr:rowOff>
    </xdr:from>
    <xdr:to>
      <xdr:col>3</xdr:col>
      <xdr:colOff>69373</xdr:colOff>
      <xdr:row>2</xdr:row>
      <xdr:rowOff>164897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93" y="0"/>
          <a:ext cx="1249680" cy="533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38893</xdr:colOff>
      <xdr:row>0</xdr:row>
      <xdr:rowOff>0</xdr:rowOff>
    </xdr:from>
    <xdr:to>
      <xdr:col>3</xdr:col>
      <xdr:colOff>69373</xdr:colOff>
      <xdr:row>2</xdr:row>
      <xdr:rowOff>164897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93" y="0"/>
          <a:ext cx="1249680" cy="533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38893</xdr:colOff>
      <xdr:row>1</xdr:row>
      <xdr:rowOff>0</xdr:rowOff>
    </xdr:from>
    <xdr:to>
      <xdr:col>3</xdr:col>
      <xdr:colOff>69373</xdr:colOff>
      <xdr:row>3</xdr:row>
      <xdr:rowOff>164897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93" y="0"/>
          <a:ext cx="1249680" cy="53319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wibor.money.pl" backgroundRefresh="0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19"/>
  <sheetViews>
    <sheetView workbookViewId="0">
      <selection activeCell="N9" sqref="N9"/>
    </sheetView>
  </sheetViews>
  <sheetFormatPr defaultRowHeight="14.5" x14ac:dyDescent="0.35"/>
  <cols>
    <col min="1" max="1" width="6.1796875" style="2" customWidth="1"/>
    <col min="2" max="6" width="8.7265625" style="2"/>
    <col min="7" max="7" width="11.453125" style="2" bestFit="1" customWidth="1"/>
    <col min="8" max="8" width="11.7265625" style="2" bestFit="1" customWidth="1"/>
    <col min="9" max="9" width="12.453125" style="2" bestFit="1" customWidth="1"/>
    <col min="10" max="12" width="8.7265625" style="2"/>
    <col min="13" max="13" width="11.36328125" style="2" customWidth="1"/>
    <col min="14" max="14" width="11.453125" style="2" bestFit="1" customWidth="1"/>
    <col min="15" max="16384" width="8.7265625" style="2"/>
  </cols>
  <sheetData>
    <row r="5" spans="2:14" ht="18.5" x14ac:dyDescent="0.45">
      <c r="B5" s="12" t="s">
        <v>12</v>
      </c>
    </row>
    <row r="7" spans="2:14" x14ac:dyDescent="0.35">
      <c r="B7" s="81" t="s">
        <v>13</v>
      </c>
      <c r="C7" s="82"/>
      <c r="D7" s="82"/>
      <c r="E7" s="82"/>
      <c r="F7" s="82"/>
    </row>
    <row r="8" spans="2:14" x14ac:dyDescent="0.35">
      <c r="G8" s="10" t="s">
        <v>3</v>
      </c>
      <c r="H8" s="10" t="s">
        <v>4</v>
      </c>
      <c r="K8" s="76" t="s">
        <v>7</v>
      </c>
      <c r="L8" s="77"/>
      <c r="M8" s="77"/>
      <c r="N8" s="13">
        <f>(((G17*G18*((1+G18)^G11))-(H12*G18)))/(((1+G18)^G11)-1)</f>
        <v>1645.9789672656932</v>
      </c>
    </row>
    <row r="9" spans="2:14" x14ac:dyDescent="0.35">
      <c r="B9" s="5" t="s">
        <v>10</v>
      </c>
      <c r="C9" s="5"/>
      <c r="D9" s="5"/>
      <c r="E9" s="5"/>
      <c r="F9" s="5"/>
      <c r="G9" s="11">
        <v>1</v>
      </c>
      <c r="H9" s="6">
        <v>100000</v>
      </c>
      <c r="K9" s="76" t="s">
        <v>8</v>
      </c>
      <c r="L9" s="77"/>
      <c r="M9" s="77"/>
      <c r="N9" s="15">
        <f>N8/H9</f>
        <v>1.6459789672656933E-2</v>
      </c>
    </row>
    <row r="10" spans="2:14" x14ac:dyDescent="0.35">
      <c r="B10" s="78" t="s">
        <v>11</v>
      </c>
      <c r="C10" s="79"/>
      <c r="D10" s="79"/>
      <c r="E10" s="79"/>
      <c r="F10" s="80"/>
      <c r="G10" s="7">
        <v>0.45</v>
      </c>
      <c r="H10" s="8">
        <f>G10*H9</f>
        <v>45000</v>
      </c>
      <c r="K10" s="16"/>
      <c r="L10" s="16"/>
      <c r="M10" s="16"/>
      <c r="N10" s="16"/>
    </row>
    <row r="11" spans="2:14" x14ac:dyDescent="0.35">
      <c r="B11" s="78" t="s">
        <v>0</v>
      </c>
      <c r="C11" s="79"/>
      <c r="D11" s="79"/>
      <c r="E11" s="79"/>
      <c r="F11" s="80"/>
      <c r="G11" s="9">
        <v>35</v>
      </c>
      <c r="H11" s="10"/>
      <c r="K11" s="16"/>
      <c r="L11" s="16"/>
      <c r="M11" s="16"/>
      <c r="N11" s="16"/>
    </row>
    <row r="12" spans="2:14" x14ac:dyDescent="0.35">
      <c r="B12" s="78" t="s">
        <v>1</v>
      </c>
      <c r="C12" s="79"/>
      <c r="D12" s="79"/>
      <c r="E12" s="79"/>
      <c r="F12" s="80"/>
      <c r="G12" s="7">
        <v>0.01</v>
      </c>
      <c r="H12" s="8">
        <f>G12*H9</f>
        <v>1000</v>
      </c>
      <c r="K12" s="17" t="s">
        <v>9</v>
      </c>
      <c r="L12" s="17"/>
      <c r="M12" s="17"/>
      <c r="N12" s="18">
        <f>N14/H9</f>
        <v>1.0360926385429927</v>
      </c>
    </row>
    <row r="13" spans="2:14" x14ac:dyDescent="0.35">
      <c r="B13" s="78" t="s">
        <v>16</v>
      </c>
      <c r="C13" s="79"/>
      <c r="D13" s="79"/>
      <c r="E13" s="79"/>
      <c r="F13" s="80"/>
      <c r="G13" s="7">
        <v>4.2200000000000001E-2</v>
      </c>
      <c r="H13" s="10"/>
      <c r="K13" s="16"/>
      <c r="L13" s="16"/>
      <c r="M13" s="16"/>
      <c r="N13" s="16"/>
    </row>
    <row r="14" spans="2:14" x14ac:dyDescent="0.35">
      <c r="B14" s="78" t="s">
        <v>2</v>
      </c>
      <c r="C14" s="79"/>
      <c r="D14" s="79"/>
      <c r="E14" s="79"/>
      <c r="F14" s="80"/>
      <c r="G14" s="7">
        <v>0</v>
      </c>
      <c r="H14" s="10"/>
      <c r="K14" s="5" t="s">
        <v>18</v>
      </c>
      <c r="L14" s="5"/>
      <c r="M14" s="5"/>
      <c r="N14" s="19">
        <f>G19+H10+H12</f>
        <v>103609.26385429926</v>
      </c>
    </row>
    <row r="16" spans="2:14" x14ac:dyDescent="0.35">
      <c r="B16" s="81" t="s">
        <v>14</v>
      </c>
      <c r="C16" s="82"/>
      <c r="D16" s="82"/>
      <c r="E16" s="82"/>
      <c r="F16" s="82"/>
    </row>
    <row r="17" spans="2:9" x14ac:dyDescent="0.35">
      <c r="B17" s="78" t="s">
        <v>15</v>
      </c>
      <c r="C17" s="79"/>
      <c r="D17" s="79"/>
      <c r="E17" s="79"/>
      <c r="F17" s="80"/>
      <c r="G17" s="13">
        <f>H9-H10</f>
        <v>55000</v>
      </c>
      <c r="I17" s="4"/>
    </row>
    <row r="18" spans="2:9" x14ac:dyDescent="0.35">
      <c r="B18" s="78" t="s">
        <v>6</v>
      </c>
      <c r="C18" s="79"/>
      <c r="D18" s="79"/>
      <c r="E18" s="79"/>
      <c r="F18" s="80"/>
      <c r="G18" s="14">
        <f>G13/12</f>
        <v>3.5166666666666666E-3</v>
      </c>
      <c r="H18" s="3"/>
    </row>
    <row r="19" spans="2:9" x14ac:dyDescent="0.35">
      <c r="B19" s="78" t="s">
        <v>17</v>
      </c>
      <c r="C19" s="79"/>
      <c r="D19" s="79"/>
      <c r="E19" s="79"/>
      <c r="F19" s="80"/>
      <c r="G19" s="13">
        <f>N8*G11</f>
        <v>57609.263854299264</v>
      </c>
    </row>
  </sheetData>
  <mergeCells count="12">
    <mergeCell ref="B7:F7"/>
    <mergeCell ref="B16:F16"/>
    <mergeCell ref="B17:F17"/>
    <mergeCell ref="B18:F18"/>
    <mergeCell ref="B19:F19"/>
    <mergeCell ref="B13:F13"/>
    <mergeCell ref="B14:F14"/>
    <mergeCell ref="K8:M8"/>
    <mergeCell ref="K9:M9"/>
    <mergeCell ref="B10:F10"/>
    <mergeCell ref="B11:F11"/>
    <mergeCell ref="B12:F12"/>
  </mergeCells>
  <dataValidations disablePrompts="1" count="1">
    <dataValidation type="whole" allowBlank="1" showInputMessage="1" showErrorMessage="1" errorTitle="Podaj prawidłową liczbę rat" error="Liczba rat w leasingu powinna mieścić się w zakresie do 24 do 84 miesięcy. " sqref="G11">
      <formula1>24</formula1>
      <formula2>84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29"/>
  <sheetViews>
    <sheetView topLeftCell="A4" workbookViewId="0">
      <selection activeCell="G14" sqref="G14"/>
    </sheetView>
  </sheetViews>
  <sheetFormatPr defaultRowHeight="14.5" x14ac:dyDescent="0.35"/>
  <cols>
    <col min="1" max="1" width="6.1796875" style="2" customWidth="1"/>
    <col min="2" max="6" width="8.7265625" style="2"/>
    <col min="7" max="7" width="11.453125" style="2" bestFit="1" customWidth="1"/>
    <col min="8" max="8" width="11.7265625" style="2" bestFit="1" customWidth="1"/>
    <col min="9" max="9" width="12.453125" style="2" bestFit="1" customWidth="1"/>
    <col min="10" max="12" width="8.7265625" style="2"/>
    <col min="13" max="13" width="19.08984375" style="2" customWidth="1"/>
    <col min="14" max="14" width="11.453125" style="2" bestFit="1" customWidth="1"/>
    <col min="15" max="15" width="11.81640625" style="2" customWidth="1"/>
    <col min="16" max="16" width="11.6328125" style="2" bestFit="1" customWidth="1"/>
    <col min="17" max="16384" width="8.7265625" style="2"/>
  </cols>
  <sheetData>
    <row r="5" spans="2:16" ht="18.5" x14ac:dyDescent="0.45">
      <c r="B5" s="12" t="s">
        <v>12</v>
      </c>
    </row>
    <row r="7" spans="2:16" x14ac:dyDescent="0.35">
      <c r="B7" s="81" t="s">
        <v>13</v>
      </c>
      <c r="C7" s="82"/>
      <c r="D7" s="82"/>
      <c r="E7" s="82"/>
      <c r="F7" s="82"/>
      <c r="N7" s="2" t="s">
        <v>134</v>
      </c>
      <c r="O7" s="2" t="s">
        <v>135</v>
      </c>
      <c r="P7" s="2" t="s">
        <v>139</v>
      </c>
    </row>
    <row r="8" spans="2:16" x14ac:dyDescent="0.35">
      <c r="G8" s="10" t="s">
        <v>3</v>
      </c>
      <c r="H8" s="10" t="s">
        <v>118</v>
      </c>
      <c r="I8" s="2" t="s">
        <v>136</v>
      </c>
      <c r="J8" s="2" t="s">
        <v>139</v>
      </c>
      <c r="K8" s="76" t="s">
        <v>7</v>
      </c>
      <c r="L8" s="77"/>
      <c r="M8" s="77"/>
      <c r="N8" s="13">
        <f>(((G17*G18*((1+G18)^G11))-(H12*G18)))/(((1+G18)^G11)-1)</f>
        <v>1662.9787124950117</v>
      </c>
      <c r="O8" s="13" t="e">
        <f>(((H17*H18*((1+H18)^G11))-(H12*H18)))/(((1+H18)^G11)-1)</f>
        <v>#REF!</v>
      </c>
      <c r="P8" s="13">
        <f>(((I17*I18*((1+I18)^G11))-(H12*I18)))/(((1+I18)^G11)-1)</f>
        <v>1746.8038581335231</v>
      </c>
    </row>
    <row r="9" spans="2:16" x14ac:dyDescent="0.35">
      <c r="B9" s="5" t="s">
        <v>10</v>
      </c>
      <c r="C9" s="5"/>
      <c r="D9" s="5"/>
      <c r="E9" s="5"/>
      <c r="F9" s="5"/>
      <c r="G9" s="11">
        <v>1</v>
      </c>
      <c r="H9" s="6">
        <v>100000</v>
      </c>
      <c r="K9" s="76" t="s">
        <v>8</v>
      </c>
      <c r="L9" s="77"/>
      <c r="M9" s="77"/>
      <c r="N9" s="15">
        <f>N8/H9</f>
        <v>1.6629787124950116E-2</v>
      </c>
      <c r="O9" s="15" t="e">
        <f>O8/H9</f>
        <v>#REF!</v>
      </c>
      <c r="P9" s="15">
        <f>P8/H9</f>
        <v>1.7468038581335232E-2</v>
      </c>
    </row>
    <row r="10" spans="2:16" x14ac:dyDescent="0.35">
      <c r="B10" s="78" t="s">
        <v>11</v>
      </c>
      <c r="C10" s="79"/>
      <c r="D10" s="79"/>
      <c r="E10" s="79"/>
      <c r="F10" s="80"/>
      <c r="G10" s="7">
        <v>0.1</v>
      </c>
      <c r="H10" s="8">
        <f>G10*H9</f>
        <v>10000</v>
      </c>
      <c r="K10" s="16"/>
      <c r="L10" s="16"/>
      <c r="M10" s="16"/>
      <c r="N10" s="16"/>
    </row>
    <row r="11" spans="2:16" x14ac:dyDescent="0.35">
      <c r="B11" s="78" t="s">
        <v>0</v>
      </c>
      <c r="C11" s="79"/>
      <c r="D11" s="79"/>
      <c r="E11" s="79"/>
      <c r="F11" s="80"/>
      <c r="G11" s="9">
        <v>60</v>
      </c>
      <c r="H11" s="10"/>
      <c r="K11" s="16"/>
      <c r="L11" s="16"/>
      <c r="M11" s="16"/>
      <c r="N11" s="16"/>
    </row>
    <row r="12" spans="2:16" x14ac:dyDescent="0.35">
      <c r="B12" s="78" t="s">
        <v>1</v>
      </c>
      <c r="C12" s="79"/>
      <c r="D12" s="79"/>
      <c r="E12" s="79"/>
      <c r="F12" s="80"/>
      <c r="G12" s="7">
        <v>0.01</v>
      </c>
      <c r="H12" s="8">
        <f>G12*H9</f>
        <v>1000</v>
      </c>
      <c r="K12" s="17" t="s">
        <v>9</v>
      </c>
      <c r="L12" s="17"/>
      <c r="M12" s="17"/>
      <c r="N12" s="18">
        <f>N14/H9</f>
        <v>1.1077872274970069</v>
      </c>
      <c r="O12" s="18" t="e">
        <f>O14/H9</f>
        <v>#REF!</v>
      </c>
      <c r="P12" s="18">
        <f>P14/H9</f>
        <v>1.1580823148801138</v>
      </c>
    </row>
    <row r="13" spans="2:16" x14ac:dyDescent="0.35">
      <c r="B13" s="78" t="s">
        <v>16</v>
      </c>
      <c r="C13" s="79"/>
      <c r="D13" s="79"/>
      <c r="E13" s="79"/>
      <c r="F13" s="80"/>
      <c r="G13" s="7">
        <v>4.4999999999999998E-2</v>
      </c>
      <c r="H13" s="10"/>
      <c r="I13" s="2" t="e">
        <f>IF(G23="1M",O22+G25,O22+G26)</f>
        <v>#REF!</v>
      </c>
      <c r="J13" s="2">
        <f>O22+G24</f>
        <v>6.5</v>
      </c>
      <c r="K13" s="16"/>
      <c r="L13" s="16"/>
      <c r="M13" s="16"/>
      <c r="N13" s="16"/>
    </row>
    <row r="14" spans="2:16" x14ac:dyDescent="0.35">
      <c r="B14" s="78" t="s">
        <v>2</v>
      </c>
      <c r="C14" s="79"/>
      <c r="D14" s="79"/>
      <c r="E14" s="79"/>
      <c r="F14" s="80"/>
      <c r="G14" s="7">
        <v>0</v>
      </c>
      <c r="H14" s="8">
        <f>G14*H9</f>
        <v>0</v>
      </c>
      <c r="K14" s="5" t="s">
        <v>18</v>
      </c>
      <c r="L14" s="5"/>
      <c r="M14" s="5"/>
      <c r="N14" s="19">
        <f>G19+H10+H12</f>
        <v>110778.7227497007</v>
      </c>
      <c r="O14" s="19" t="e">
        <f>H19+H10+H12</f>
        <v>#REF!</v>
      </c>
      <c r="P14" s="19">
        <f>I19+H12+H10</f>
        <v>115808.23148801138</v>
      </c>
    </row>
    <row r="16" spans="2:16" x14ac:dyDescent="0.35">
      <c r="B16" s="81" t="s">
        <v>14</v>
      </c>
      <c r="C16" s="82"/>
      <c r="D16" s="82"/>
      <c r="E16" s="82"/>
      <c r="F16" s="82"/>
    </row>
    <row r="17" spans="2:15" x14ac:dyDescent="0.35">
      <c r="B17" s="78" t="s">
        <v>15</v>
      </c>
      <c r="C17" s="79"/>
      <c r="D17" s="79"/>
      <c r="E17" s="79"/>
      <c r="F17" s="80"/>
      <c r="G17" s="13">
        <f>H9-H10+H14</f>
        <v>90000</v>
      </c>
      <c r="H17" s="13">
        <f>H9-H10+H14</f>
        <v>90000</v>
      </c>
      <c r="I17" s="13">
        <f>H9-H10+H14</f>
        <v>90000</v>
      </c>
    </row>
    <row r="18" spans="2:15" x14ac:dyDescent="0.35">
      <c r="B18" s="78" t="s">
        <v>6</v>
      </c>
      <c r="C18" s="79"/>
      <c r="D18" s="79"/>
      <c r="E18" s="79"/>
      <c r="F18" s="80"/>
      <c r="G18" s="14">
        <f>G13/12</f>
        <v>3.7499999999999999E-3</v>
      </c>
      <c r="H18" s="14" t="e">
        <f>(I13/12)/100</f>
        <v>#REF!</v>
      </c>
      <c r="I18" s="14">
        <f>(J13/12)/100</f>
        <v>5.416666666666666E-3</v>
      </c>
      <c r="K18" s="81" t="s">
        <v>115</v>
      </c>
      <c r="L18" s="82"/>
      <c r="M18" s="82"/>
      <c r="N18" s="82"/>
      <c r="O18" s="82"/>
    </row>
    <row r="19" spans="2:15" x14ac:dyDescent="0.35">
      <c r="B19" s="78" t="s">
        <v>17</v>
      </c>
      <c r="C19" s="79"/>
      <c r="D19" s="79"/>
      <c r="E19" s="79"/>
      <c r="F19" s="80"/>
      <c r="G19" s="13">
        <f>N8*G11</f>
        <v>99778.722749700697</v>
      </c>
      <c r="H19" s="13" t="e">
        <f>O8*G11</f>
        <v>#REF!</v>
      </c>
      <c r="I19" s="13">
        <f>P8*G11</f>
        <v>104808.23148801138</v>
      </c>
    </row>
    <row r="20" spans="2:15" x14ac:dyDescent="0.35">
      <c r="K20" s="17" t="s">
        <v>116</v>
      </c>
      <c r="L20" s="17"/>
      <c r="M20" s="17"/>
      <c r="N20" s="18">
        <f>Arkusz3!F5</f>
        <v>4.5000000000007034E-2</v>
      </c>
    </row>
    <row r="22" spans="2:15" x14ac:dyDescent="0.35">
      <c r="B22" s="78" t="s">
        <v>114</v>
      </c>
      <c r="C22" s="79"/>
      <c r="D22" s="79"/>
      <c r="E22" s="79"/>
      <c r="F22" s="80"/>
      <c r="G22" s="31">
        <v>2.0999999999999999E-3</v>
      </c>
      <c r="K22" s="17" t="s">
        <v>117</v>
      </c>
      <c r="L22" s="17"/>
      <c r="M22" s="17"/>
      <c r="N22" s="18">
        <f>N20-G22</f>
        <v>4.2900000000007037E-2</v>
      </c>
      <c r="O22" s="2">
        <v>3</v>
      </c>
    </row>
    <row r="23" spans="2:15" x14ac:dyDescent="0.35">
      <c r="B23" s="2" t="s">
        <v>133</v>
      </c>
      <c r="G23" s="2" t="s">
        <v>109</v>
      </c>
    </row>
    <row r="24" spans="2:15" x14ac:dyDescent="0.35">
      <c r="B24" s="2" t="s">
        <v>138</v>
      </c>
      <c r="G24" s="2">
        <v>3.5</v>
      </c>
    </row>
    <row r="25" spans="2:15" x14ac:dyDescent="0.35">
      <c r="B25" s="2" t="s">
        <v>132</v>
      </c>
      <c r="F25" s="2" t="s">
        <v>108</v>
      </c>
      <c r="G25" s="2" t="e">
        <f>#REF!</f>
        <v>#REF!</v>
      </c>
    </row>
    <row r="26" spans="2:15" x14ac:dyDescent="0.35">
      <c r="F26" s="2" t="s">
        <v>109</v>
      </c>
      <c r="G26" s="2" t="e">
        <f>#REF!</f>
        <v>#REF!</v>
      </c>
    </row>
    <row r="28" spans="2:15" x14ac:dyDescent="0.35">
      <c r="B28" s="2" t="s">
        <v>137</v>
      </c>
      <c r="F28" s="2" t="s">
        <v>108</v>
      </c>
    </row>
    <row r="29" spans="2:15" x14ac:dyDescent="0.35">
      <c r="F29" s="2" t="s">
        <v>109</v>
      </c>
    </row>
  </sheetData>
  <mergeCells count="14">
    <mergeCell ref="B22:F22"/>
    <mergeCell ref="K18:O18"/>
    <mergeCell ref="B19:F19"/>
    <mergeCell ref="B7:F7"/>
    <mergeCell ref="K8:M8"/>
    <mergeCell ref="K9:M9"/>
    <mergeCell ref="B10:F10"/>
    <mergeCell ref="B11:F11"/>
    <mergeCell ref="B12:F12"/>
    <mergeCell ref="B13:F13"/>
    <mergeCell ref="B14:F14"/>
    <mergeCell ref="B16:F16"/>
    <mergeCell ref="B17:F17"/>
    <mergeCell ref="B18:F18"/>
  </mergeCells>
  <dataValidations count="2">
    <dataValidation type="whole" allowBlank="1" showInputMessage="1" showErrorMessage="1" errorTitle="Podaj prawidłową liczbę rat" error="Liczba rat w leasingu powinna mieścić się w zakresie do 24 do 84 miesięcy. " sqref="G11">
      <formula1>24</formula1>
      <formula2>84</formula2>
    </dataValidation>
    <dataValidation type="list" allowBlank="1" showInputMessage="1" showErrorMessage="1" sqref="G2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I4" sqref="I4"/>
    </sheetView>
  </sheetViews>
  <sheetFormatPr defaultRowHeight="14.5" x14ac:dyDescent="0.35"/>
  <cols>
    <col min="1" max="1" width="6.1796875" style="2" customWidth="1"/>
    <col min="2" max="6" width="8.7265625" style="2"/>
    <col min="7" max="7" width="11.453125" style="2" bestFit="1" customWidth="1"/>
    <col min="8" max="8" width="11.7265625" style="2" bestFit="1" customWidth="1"/>
    <col min="9" max="9" width="12.453125" style="2" bestFit="1" customWidth="1"/>
    <col min="10" max="10" width="6.6328125" style="2" customWidth="1"/>
    <col min="11" max="12" width="8.7265625" style="2"/>
    <col min="13" max="13" width="12" style="2" customWidth="1"/>
    <col min="14" max="16" width="12.6328125" style="2" customWidth="1"/>
    <col min="17" max="16384" width="8.7265625" style="2"/>
  </cols>
  <sheetData>
    <row r="1" spans="1:17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18.5" x14ac:dyDescent="0.45">
      <c r="A6" s="43"/>
      <c r="B6" s="67" t="s">
        <v>140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x14ac:dyDescent="0.3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x14ac:dyDescent="0.35">
      <c r="A8" s="43"/>
      <c r="B8" s="91" t="s">
        <v>152</v>
      </c>
      <c r="C8" s="92"/>
      <c r="D8" s="92"/>
      <c r="E8" s="92"/>
      <c r="F8" s="92"/>
      <c r="G8" s="43"/>
      <c r="H8" s="43"/>
      <c r="I8" s="43"/>
      <c r="J8" s="43"/>
      <c r="K8" s="44"/>
      <c r="L8" s="44"/>
      <c r="M8" s="44"/>
      <c r="N8" s="45"/>
      <c r="O8" s="45"/>
      <c r="P8" s="45"/>
      <c r="Q8" s="43"/>
    </row>
    <row r="9" spans="1:17" ht="17" x14ac:dyDescent="0.4">
      <c r="A9" s="43"/>
      <c r="B9" s="43"/>
      <c r="C9" s="43"/>
      <c r="D9" s="43"/>
      <c r="E9" s="43"/>
      <c r="F9" s="43"/>
      <c r="G9" s="48" t="s">
        <v>3</v>
      </c>
      <c r="H9" s="48" t="s">
        <v>118</v>
      </c>
      <c r="I9" s="46" t="s">
        <v>147</v>
      </c>
      <c r="J9" s="46" t="s">
        <v>139</v>
      </c>
      <c r="K9" s="93" t="s">
        <v>150</v>
      </c>
      <c r="L9" s="93"/>
      <c r="M9" s="93"/>
      <c r="N9" s="94"/>
      <c r="O9" s="94"/>
      <c r="P9" s="94"/>
      <c r="Q9" s="43"/>
    </row>
    <row r="10" spans="1:17" x14ac:dyDescent="0.35">
      <c r="A10" s="43"/>
      <c r="B10" s="51" t="s">
        <v>10</v>
      </c>
      <c r="C10" s="51"/>
      <c r="D10" s="51"/>
      <c r="E10" s="51"/>
      <c r="F10" s="51"/>
      <c r="G10" s="68">
        <v>1</v>
      </c>
      <c r="H10" s="37">
        <v>123000</v>
      </c>
      <c r="I10" s="46"/>
      <c r="J10" s="46"/>
      <c r="K10" s="85"/>
      <c r="L10" s="85"/>
      <c r="M10" s="85"/>
      <c r="N10" s="47"/>
      <c r="O10" s="47"/>
      <c r="P10" s="47"/>
      <c r="Q10" s="43"/>
    </row>
    <row r="11" spans="1:17" x14ac:dyDescent="0.35">
      <c r="A11" s="43"/>
      <c r="B11" s="88" t="s">
        <v>11</v>
      </c>
      <c r="C11" s="89"/>
      <c r="D11" s="89"/>
      <c r="E11" s="89"/>
      <c r="F11" s="90"/>
      <c r="G11" s="38">
        <v>0.1</v>
      </c>
      <c r="H11" s="69">
        <f>G11*H10</f>
        <v>12300</v>
      </c>
      <c r="I11" s="46"/>
      <c r="J11" s="46"/>
      <c r="K11" s="43"/>
      <c r="L11" s="43"/>
      <c r="M11" s="43"/>
      <c r="N11" s="48" t="s">
        <v>148</v>
      </c>
      <c r="O11" s="48" t="s">
        <v>144</v>
      </c>
      <c r="P11" s="48" t="s">
        <v>149</v>
      </c>
      <c r="Q11" s="43"/>
    </row>
    <row r="12" spans="1:17" x14ac:dyDescent="0.35">
      <c r="A12" s="43"/>
      <c r="B12" s="88" t="s">
        <v>0</v>
      </c>
      <c r="C12" s="89"/>
      <c r="D12" s="89"/>
      <c r="E12" s="89"/>
      <c r="F12" s="90"/>
      <c r="G12" s="39">
        <v>36</v>
      </c>
      <c r="H12" s="48"/>
      <c r="I12" s="46"/>
      <c r="J12" s="46"/>
      <c r="K12" s="95" t="s">
        <v>155</v>
      </c>
      <c r="L12" s="96"/>
      <c r="M12" s="96"/>
      <c r="N12" s="49">
        <f>(((G23*G24*((1+G24)^G12))-(H13*G24)))/(((1+G24)^G12)-1)</f>
        <v>3195.4707707865955</v>
      </c>
      <c r="O12" s="49">
        <f>(((H23*H24*((1+H24)^G12))-(H13*H24)))/(((1+H24)^G12)-1)</f>
        <v>3526.3100588432731</v>
      </c>
      <c r="P12" s="49">
        <f>(((I23*I24*((1+I24)^G12))-(H13*I24)))/(((1+I24)^G12)-1)</f>
        <v>3275.0116349711275</v>
      </c>
      <c r="Q12" s="43"/>
    </row>
    <row r="13" spans="1:17" x14ac:dyDescent="0.35">
      <c r="A13" s="43"/>
      <c r="B13" s="88" t="s">
        <v>1</v>
      </c>
      <c r="C13" s="89"/>
      <c r="D13" s="89"/>
      <c r="E13" s="89"/>
      <c r="F13" s="90"/>
      <c r="G13" s="38">
        <v>0.01</v>
      </c>
      <c r="H13" s="69">
        <f>G13*H10</f>
        <v>1230</v>
      </c>
      <c r="I13" s="46"/>
      <c r="J13" s="46"/>
      <c r="K13" s="97" t="s">
        <v>8</v>
      </c>
      <c r="L13" s="98"/>
      <c r="M13" s="98"/>
      <c r="N13" s="50">
        <f>N16/H10</f>
        <v>8.4980466487089323E-6</v>
      </c>
      <c r="O13" s="50">
        <f>O16/H10</f>
        <v>9.2852906417051915E-6</v>
      </c>
      <c r="P13" s="50">
        <f>P16/H10</f>
        <v>8.6873169977500557E-6</v>
      </c>
      <c r="Q13" s="43"/>
    </row>
    <row r="14" spans="1:17" x14ac:dyDescent="0.35">
      <c r="A14" s="43"/>
      <c r="B14" s="88" t="s">
        <v>145</v>
      </c>
      <c r="C14" s="89"/>
      <c r="D14" s="89"/>
      <c r="E14" s="89"/>
      <c r="F14" s="90"/>
      <c r="G14" s="40">
        <v>0.18</v>
      </c>
      <c r="H14" s="70">
        <f>(G15+G14)/100</f>
        <v>3.1800000000000002E-2</v>
      </c>
      <c r="I14" s="46">
        <f>IF(G16="1M",G15+G19,G15+H19)</f>
        <v>9.6900000000000013</v>
      </c>
      <c r="J14" s="46">
        <f>IF(G16="1M",G15+G20,G15+H20)</f>
        <v>4.78</v>
      </c>
      <c r="K14" s="86" t="s">
        <v>151</v>
      </c>
      <c r="L14" s="87"/>
      <c r="M14" s="87"/>
      <c r="N14" s="51"/>
      <c r="O14" s="52">
        <f>O12-N12</f>
        <v>330.83928805667756</v>
      </c>
      <c r="P14" s="52">
        <f>P12-N12</f>
        <v>79.540864184531983</v>
      </c>
      <c r="Q14" s="43"/>
    </row>
    <row r="15" spans="1:17" x14ac:dyDescent="0.35">
      <c r="A15" s="43"/>
      <c r="B15" s="88" t="s">
        <v>146</v>
      </c>
      <c r="C15" s="89"/>
      <c r="D15" s="89"/>
      <c r="E15" s="89"/>
      <c r="F15" s="90"/>
      <c r="G15" s="41">
        <v>3</v>
      </c>
      <c r="H15" s="71"/>
      <c r="I15" s="43"/>
      <c r="J15" s="43"/>
      <c r="K15" s="86" t="s">
        <v>153</v>
      </c>
      <c r="L15" s="87"/>
      <c r="M15" s="87"/>
      <c r="N15" s="53"/>
      <c r="O15" s="54">
        <f>O14/N12</f>
        <v>0.10353381764003378</v>
      </c>
      <c r="P15" s="54">
        <f>P14/N12</f>
        <v>2.4891751447612912E-2</v>
      </c>
      <c r="Q15" s="43"/>
    </row>
    <row r="16" spans="1:17" x14ac:dyDescent="0.35">
      <c r="A16" s="43"/>
      <c r="B16" s="86" t="s">
        <v>154</v>
      </c>
      <c r="C16" s="87"/>
      <c r="D16" s="87"/>
      <c r="E16" s="87"/>
      <c r="F16" s="87"/>
      <c r="G16" s="38" t="s">
        <v>109</v>
      </c>
      <c r="H16" s="71"/>
      <c r="I16" s="43"/>
      <c r="J16" s="43"/>
      <c r="K16" s="55" t="s">
        <v>9</v>
      </c>
      <c r="L16" s="55"/>
      <c r="M16" s="55"/>
      <c r="N16" s="53">
        <f>N17/H10</f>
        <v>1.0452597377911987</v>
      </c>
      <c r="O16" s="53">
        <f>O17/H10</f>
        <v>1.1420907489297385</v>
      </c>
      <c r="P16" s="53">
        <f>P17/H10</f>
        <v>1.0685399907232569</v>
      </c>
      <c r="Q16" s="43"/>
    </row>
    <row r="17" spans="1:17" x14ac:dyDescent="0.35">
      <c r="A17" s="43"/>
      <c r="B17" s="85"/>
      <c r="C17" s="85"/>
      <c r="D17" s="85"/>
      <c r="E17" s="85"/>
      <c r="F17" s="85"/>
      <c r="G17" s="73"/>
      <c r="H17" s="71"/>
      <c r="I17" s="56"/>
      <c r="J17" s="43"/>
      <c r="K17" s="57" t="s">
        <v>18</v>
      </c>
      <c r="L17" s="51"/>
      <c r="M17" s="51"/>
      <c r="N17" s="49">
        <f>G25+H11+H13</f>
        <v>128566.94774831744</v>
      </c>
      <c r="O17" s="49">
        <f>H25+H11+H13</f>
        <v>140477.16211835784</v>
      </c>
      <c r="P17" s="49">
        <f>I25+H13+H11</f>
        <v>131430.41885896059</v>
      </c>
      <c r="Q17" s="43"/>
    </row>
    <row r="18" spans="1:17" x14ac:dyDescent="0.35">
      <c r="A18" s="43"/>
      <c r="B18" s="74"/>
      <c r="C18" s="74"/>
      <c r="D18" s="74"/>
      <c r="E18" s="74"/>
      <c r="F18" s="74"/>
      <c r="G18" s="72" t="s">
        <v>108</v>
      </c>
      <c r="H18" s="69" t="s">
        <v>109</v>
      </c>
      <c r="I18" s="43"/>
      <c r="J18" s="43"/>
      <c r="K18" s="44"/>
      <c r="L18" s="44"/>
      <c r="M18" s="44"/>
      <c r="N18" s="58"/>
      <c r="O18" s="58"/>
      <c r="P18" s="58"/>
      <c r="Q18" s="43"/>
    </row>
    <row r="19" spans="1:17" x14ac:dyDescent="0.35">
      <c r="A19" s="43"/>
      <c r="B19" s="88" t="s">
        <v>141</v>
      </c>
      <c r="C19" s="89"/>
      <c r="D19" s="89"/>
      <c r="E19" s="89"/>
      <c r="F19" s="90"/>
      <c r="G19" s="72">
        <f>'www '!C9</f>
        <v>6.81</v>
      </c>
      <c r="H19" s="72">
        <f>'www '!C10</f>
        <v>6.69</v>
      </c>
      <c r="I19" s="43"/>
      <c r="J19" s="43"/>
      <c r="K19" s="59"/>
      <c r="L19" s="59"/>
      <c r="M19" s="59"/>
      <c r="N19" s="60"/>
      <c r="O19" s="60"/>
      <c r="P19" s="60"/>
      <c r="Q19" s="43"/>
    </row>
    <row r="20" spans="1:17" x14ac:dyDescent="0.35">
      <c r="A20" s="43"/>
      <c r="B20" s="75" t="s">
        <v>142</v>
      </c>
      <c r="C20" s="75"/>
      <c r="D20" s="75"/>
      <c r="E20" s="75"/>
      <c r="F20" s="75"/>
      <c r="G20" s="42">
        <v>1.56</v>
      </c>
      <c r="H20" s="42">
        <v>1.78</v>
      </c>
      <c r="I20" s="43"/>
      <c r="J20" s="43"/>
      <c r="K20" s="61" t="s">
        <v>156</v>
      </c>
      <c r="L20" s="44"/>
      <c r="M20" s="44"/>
      <c r="N20" s="58"/>
      <c r="O20" s="58"/>
      <c r="P20" s="58"/>
      <c r="Q20" s="43"/>
    </row>
    <row r="21" spans="1:17" x14ac:dyDescent="0.35">
      <c r="A21" s="43"/>
      <c r="B21" s="74"/>
      <c r="C21" s="74"/>
      <c r="D21" s="74"/>
      <c r="E21" s="74"/>
      <c r="F21" s="74"/>
      <c r="G21" s="73"/>
      <c r="H21" s="71"/>
      <c r="I21" s="43"/>
      <c r="J21" s="43"/>
      <c r="K21" s="44"/>
      <c r="L21" s="44"/>
      <c r="M21" s="44"/>
      <c r="N21" s="58"/>
      <c r="O21" s="58"/>
      <c r="P21" s="58"/>
      <c r="Q21" s="43"/>
    </row>
    <row r="22" spans="1:17" x14ac:dyDescent="0.35">
      <c r="A22" s="43"/>
      <c r="B22" s="99" t="s">
        <v>14</v>
      </c>
      <c r="C22" s="99"/>
      <c r="D22" s="99"/>
      <c r="E22" s="99"/>
      <c r="F22" s="99"/>
      <c r="G22" s="62" t="s">
        <v>143</v>
      </c>
      <c r="H22" s="62" t="s">
        <v>144</v>
      </c>
      <c r="I22" s="62" t="s">
        <v>139</v>
      </c>
      <c r="J22" s="43"/>
      <c r="K22" s="43"/>
      <c r="L22" s="43"/>
      <c r="M22" s="43"/>
      <c r="N22" s="43"/>
      <c r="O22" s="43"/>
      <c r="P22" s="43"/>
      <c r="Q22" s="43"/>
    </row>
    <row r="23" spans="1:17" x14ac:dyDescent="0.35">
      <c r="A23" s="43"/>
      <c r="B23" s="83" t="s">
        <v>15</v>
      </c>
      <c r="C23" s="83"/>
      <c r="D23" s="83"/>
      <c r="E23" s="83"/>
      <c r="F23" s="83"/>
      <c r="G23" s="63">
        <f>H10-H11</f>
        <v>110700</v>
      </c>
      <c r="H23" s="63">
        <f>H10-H11</f>
        <v>110700</v>
      </c>
      <c r="I23" s="63">
        <f>H10-H11</f>
        <v>110700</v>
      </c>
      <c r="J23" s="43"/>
      <c r="K23" s="43"/>
      <c r="L23" s="43"/>
      <c r="M23" s="43"/>
      <c r="N23" s="43"/>
      <c r="O23" s="43"/>
      <c r="P23" s="43"/>
      <c r="Q23" s="43"/>
    </row>
    <row r="24" spans="1:17" x14ac:dyDescent="0.35">
      <c r="A24" s="43"/>
      <c r="B24" s="83" t="s">
        <v>6</v>
      </c>
      <c r="C24" s="83"/>
      <c r="D24" s="83"/>
      <c r="E24" s="83"/>
      <c r="F24" s="83"/>
      <c r="G24" s="64">
        <f>H14/12</f>
        <v>2.65E-3</v>
      </c>
      <c r="H24" s="64">
        <f>(I14/12)/100</f>
        <v>8.0750000000000006E-3</v>
      </c>
      <c r="I24" s="64">
        <f>(J14/12)/100</f>
        <v>3.9833333333333335E-3</v>
      </c>
      <c r="J24" s="43"/>
      <c r="K24" s="91"/>
      <c r="L24" s="92"/>
      <c r="M24" s="92"/>
      <c r="N24" s="92"/>
      <c r="O24" s="92"/>
      <c r="P24" s="43"/>
      <c r="Q24" s="43"/>
    </row>
    <row r="25" spans="1:17" x14ac:dyDescent="0.35">
      <c r="A25" s="43"/>
      <c r="B25" s="83" t="s">
        <v>17</v>
      </c>
      <c r="C25" s="83"/>
      <c r="D25" s="83"/>
      <c r="E25" s="83"/>
      <c r="F25" s="83"/>
      <c r="G25" s="63">
        <f>N12*G12</f>
        <v>115036.94774831744</v>
      </c>
      <c r="H25" s="63">
        <f>O12*G12</f>
        <v>126947.16211835782</v>
      </c>
      <c r="I25" s="63">
        <f>P12*G12</f>
        <v>117900.41885896059</v>
      </c>
      <c r="J25" s="43"/>
      <c r="K25" s="43"/>
      <c r="L25" s="43"/>
      <c r="M25" s="43"/>
      <c r="N25" s="43"/>
      <c r="O25" s="43"/>
      <c r="P25" s="43"/>
      <c r="Q25" s="43"/>
    </row>
    <row r="26" spans="1:17" x14ac:dyDescent="0.35">
      <c r="A26" s="43"/>
      <c r="B26" s="65"/>
      <c r="C26" s="65"/>
      <c r="D26" s="65"/>
      <c r="E26" s="65"/>
      <c r="F26" s="65"/>
      <c r="G26" s="65"/>
      <c r="H26" s="65"/>
      <c r="I26" s="65"/>
      <c r="J26" s="43"/>
      <c r="K26" s="59"/>
      <c r="L26" s="59"/>
      <c r="M26" s="59"/>
      <c r="N26" s="60"/>
      <c r="O26" s="66"/>
      <c r="P26" s="43"/>
      <c r="Q26" s="43"/>
    </row>
    <row r="27" spans="1:17" x14ac:dyDescent="0.35">
      <c r="B27" s="36"/>
      <c r="C27" s="36"/>
      <c r="D27" s="36"/>
      <c r="E27" s="36"/>
      <c r="F27" s="36"/>
      <c r="G27" s="36"/>
      <c r="H27" s="36"/>
      <c r="I27" s="36"/>
      <c r="K27" s="16"/>
      <c r="L27" s="16"/>
      <c r="M27" s="16"/>
      <c r="N27" s="16"/>
    </row>
    <row r="28" spans="1:17" x14ac:dyDescent="0.35">
      <c r="A28" s="16"/>
      <c r="B28" s="84"/>
      <c r="C28" s="84"/>
      <c r="D28" s="84"/>
      <c r="E28" s="84"/>
      <c r="F28" s="84"/>
      <c r="G28" s="33"/>
      <c r="K28" s="34"/>
      <c r="L28" s="34"/>
      <c r="M28" s="34"/>
      <c r="N28" s="35"/>
    </row>
  </sheetData>
  <sheetProtection password="9195" sheet="1" objects="1" scenarios="1"/>
  <mergeCells count="21">
    <mergeCell ref="K24:O24"/>
    <mergeCell ref="K14:M14"/>
    <mergeCell ref="K15:M15"/>
    <mergeCell ref="B8:F8"/>
    <mergeCell ref="K10:M10"/>
    <mergeCell ref="B11:F11"/>
    <mergeCell ref="B12:F12"/>
    <mergeCell ref="B13:F13"/>
    <mergeCell ref="K9:P9"/>
    <mergeCell ref="K12:M12"/>
    <mergeCell ref="K13:M13"/>
    <mergeCell ref="B14:F14"/>
    <mergeCell ref="B15:F15"/>
    <mergeCell ref="B22:F22"/>
    <mergeCell ref="B23:F23"/>
    <mergeCell ref="B24:F24"/>
    <mergeCell ref="B25:F25"/>
    <mergeCell ref="B28:F28"/>
    <mergeCell ref="B17:F17"/>
    <mergeCell ref="B16:F16"/>
    <mergeCell ref="B19:F19"/>
  </mergeCells>
  <dataValidations count="2">
    <dataValidation type="whole" allowBlank="1" showInputMessage="1" showErrorMessage="1" errorTitle="Podaj prawidłową liczbę rat" error="Liczba rat w leasingu powinna mieścić się w zakresie do 24 do 84 miesięcy. " sqref="G12">
      <formula1>24</formula1>
      <formula2>84</formula2>
    </dataValidation>
    <dataValidation type="list" allowBlank="1" showInputMessage="1" showErrorMessage="1" sqref="G29">
      <formula1>#REF!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'www '!$I$3:$I$4</xm:f>
          </x14:formula1>
          <xm:sqref>G16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0"/>
  <sheetViews>
    <sheetView topLeftCell="A4" workbookViewId="0">
      <selection activeCell="F5" sqref="F5"/>
    </sheetView>
  </sheetViews>
  <sheetFormatPr defaultRowHeight="14.5" x14ac:dyDescent="0.35"/>
  <cols>
    <col min="3" max="3" width="15.6328125" customWidth="1"/>
    <col min="6" max="6" width="11.6328125" customWidth="1"/>
  </cols>
  <sheetData>
    <row r="3" spans="1:10" x14ac:dyDescent="0.35">
      <c r="C3" s="20"/>
    </row>
    <row r="4" spans="1:10" x14ac:dyDescent="0.35">
      <c r="B4" s="21" t="s">
        <v>19</v>
      </c>
      <c r="C4" s="21" t="s">
        <v>20</v>
      </c>
      <c r="E4" s="21" t="s">
        <v>21</v>
      </c>
      <c r="F4" s="21" t="s">
        <v>22</v>
      </c>
    </row>
    <row r="5" spans="1:10" ht="87" x14ac:dyDescent="0.35">
      <c r="B5" s="22" t="s">
        <v>23</v>
      </c>
      <c r="C5" s="23">
        <f>-(roboczy!G17)</f>
        <v>-90000</v>
      </c>
      <c r="E5" s="24">
        <f>IRR(C5:C89)</f>
        <v>3.7500000000005862E-3</v>
      </c>
      <c r="F5" s="25">
        <f>E5*12</f>
        <v>4.5000000000007034E-2</v>
      </c>
    </row>
    <row r="6" spans="1:10" x14ac:dyDescent="0.35">
      <c r="A6">
        <v>1</v>
      </c>
      <c r="B6" s="26" t="s">
        <v>24</v>
      </c>
      <c r="C6" s="27">
        <f>roboczy!$N$8</f>
        <v>1662.9787124950117</v>
      </c>
    </row>
    <row r="7" spans="1:10" x14ac:dyDescent="0.35">
      <c r="A7">
        <v>2</v>
      </c>
      <c r="B7" s="28" t="s">
        <v>25</v>
      </c>
      <c r="C7" s="27">
        <f>roboczy!$N$8</f>
        <v>1662.9787124950117</v>
      </c>
    </row>
    <row r="8" spans="1:10" x14ac:dyDescent="0.35">
      <c r="A8">
        <v>3</v>
      </c>
      <c r="B8" s="26" t="s">
        <v>26</v>
      </c>
      <c r="C8" s="27">
        <f>roboczy!$N$8</f>
        <v>1662.9787124950117</v>
      </c>
      <c r="E8" t="s">
        <v>5</v>
      </c>
      <c r="F8" t="s">
        <v>108</v>
      </c>
      <c r="G8" s="1">
        <v>2.2000000000000001E-3</v>
      </c>
    </row>
    <row r="9" spans="1:10" x14ac:dyDescent="0.35">
      <c r="A9">
        <v>4</v>
      </c>
      <c r="B9" s="28" t="s">
        <v>27</v>
      </c>
      <c r="C9" s="27">
        <f>roboczy!$N$8</f>
        <v>1662.9787124950117</v>
      </c>
      <c r="F9" t="s">
        <v>109</v>
      </c>
      <c r="G9" s="1">
        <v>1.8699999999999999E-3</v>
      </c>
    </row>
    <row r="10" spans="1:10" x14ac:dyDescent="0.35">
      <c r="A10">
        <v>5</v>
      </c>
      <c r="B10" s="26" t="s">
        <v>28</v>
      </c>
      <c r="C10" s="27">
        <f>roboczy!$N$8</f>
        <v>1662.9787124950117</v>
      </c>
    </row>
    <row r="11" spans="1:10" x14ac:dyDescent="0.35">
      <c r="A11">
        <v>6</v>
      </c>
      <c r="B11" s="28" t="s">
        <v>29</v>
      </c>
      <c r="C11" s="27">
        <f>roboczy!$N$8</f>
        <v>1662.9787124950117</v>
      </c>
      <c r="E11" t="s">
        <v>110</v>
      </c>
      <c r="J11" s="1">
        <f>E5*12</f>
        <v>4.5000000000007034E-2</v>
      </c>
    </row>
    <row r="12" spans="1:10" x14ac:dyDescent="0.35">
      <c r="A12">
        <v>7</v>
      </c>
      <c r="B12" s="26" t="s">
        <v>30</v>
      </c>
      <c r="C12" s="27">
        <f>roboczy!$N$8</f>
        <v>1662.9787124950117</v>
      </c>
    </row>
    <row r="13" spans="1:10" x14ac:dyDescent="0.35">
      <c r="A13">
        <v>8</v>
      </c>
      <c r="B13" s="28" t="s">
        <v>31</v>
      </c>
      <c r="C13" s="27">
        <f>roboczy!$N$8</f>
        <v>1662.9787124950117</v>
      </c>
      <c r="E13" t="s">
        <v>111</v>
      </c>
      <c r="H13" t="s">
        <v>112</v>
      </c>
      <c r="J13" s="1">
        <f>J11-0.22%</f>
        <v>4.2800000000007034E-2</v>
      </c>
    </row>
    <row r="14" spans="1:10" x14ac:dyDescent="0.35">
      <c r="A14">
        <v>9</v>
      </c>
      <c r="B14" s="26" t="s">
        <v>32</v>
      </c>
      <c r="C14" s="27">
        <f>roboczy!$N$8</f>
        <v>1662.9787124950117</v>
      </c>
      <c r="H14" t="s">
        <v>113</v>
      </c>
      <c r="J14" s="1">
        <f>J11-0.178%</f>
        <v>4.3220000000007038E-2</v>
      </c>
    </row>
    <row r="15" spans="1:10" x14ac:dyDescent="0.35">
      <c r="A15">
        <v>10</v>
      </c>
      <c r="B15" s="28" t="s">
        <v>33</v>
      </c>
      <c r="C15" s="27">
        <f>roboczy!$N$8</f>
        <v>1662.9787124950117</v>
      </c>
    </row>
    <row r="16" spans="1:10" x14ac:dyDescent="0.35">
      <c r="A16">
        <v>11</v>
      </c>
      <c r="B16" s="26" t="s">
        <v>34</v>
      </c>
      <c r="C16" s="27">
        <f>roboczy!$N$8</f>
        <v>1662.9787124950117</v>
      </c>
    </row>
    <row r="17" spans="1:3" x14ac:dyDescent="0.35">
      <c r="A17">
        <v>12</v>
      </c>
      <c r="B17" s="28" t="s">
        <v>35</v>
      </c>
      <c r="C17" s="27">
        <f>roboczy!$N$8</f>
        <v>1662.9787124950117</v>
      </c>
    </row>
    <row r="18" spans="1:3" x14ac:dyDescent="0.35">
      <c r="A18">
        <v>13</v>
      </c>
      <c r="B18" s="26" t="s">
        <v>36</v>
      </c>
      <c r="C18" s="27">
        <f>roboczy!$N$8</f>
        <v>1662.9787124950117</v>
      </c>
    </row>
    <row r="19" spans="1:3" x14ac:dyDescent="0.35">
      <c r="A19">
        <v>14</v>
      </c>
      <c r="B19" s="28" t="s">
        <v>37</v>
      </c>
      <c r="C19" s="27">
        <f>roboczy!$N$8</f>
        <v>1662.9787124950117</v>
      </c>
    </row>
    <row r="20" spans="1:3" x14ac:dyDescent="0.35">
      <c r="A20">
        <v>15</v>
      </c>
      <c r="B20" s="26" t="s">
        <v>38</v>
      </c>
      <c r="C20" s="27">
        <f>roboczy!$N$8</f>
        <v>1662.9787124950117</v>
      </c>
    </row>
    <row r="21" spans="1:3" x14ac:dyDescent="0.35">
      <c r="A21">
        <v>16</v>
      </c>
      <c r="B21" s="28" t="s">
        <v>39</v>
      </c>
      <c r="C21" s="27">
        <f>roboczy!$N$8</f>
        <v>1662.9787124950117</v>
      </c>
    </row>
    <row r="22" spans="1:3" x14ac:dyDescent="0.35">
      <c r="A22">
        <v>17</v>
      </c>
      <c r="B22" s="26" t="s">
        <v>40</v>
      </c>
      <c r="C22" s="27">
        <f>roboczy!$N$8</f>
        <v>1662.9787124950117</v>
      </c>
    </row>
    <row r="23" spans="1:3" x14ac:dyDescent="0.35">
      <c r="A23">
        <v>18</v>
      </c>
      <c r="B23" s="28" t="s">
        <v>41</v>
      </c>
      <c r="C23" s="27">
        <f>roboczy!$N$8</f>
        <v>1662.9787124950117</v>
      </c>
    </row>
    <row r="24" spans="1:3" x14ac:dyDescent="0.35">
      <c r="A24">
        <v>19</v>
      </c>
      <c r="B24" s="26" t="s">
        <v>42</v>
      </c>
      <c r="C24" s="27">
        <f>roboczy!$N$8</f>
        <v>1662.9787124950117</v>
      </c>
    </row>
    <row r="25" spans="1:3" x14ac:dyDescent="0.35">
      <c r="A25">
        <v>20</v>
      </c>
      <c r="B25" s="28" t="s">
        <v>43</v>
      </c>
      <c r="C25" s="27">
        <f>roboczy!$N$8</f>
        <v>1662.9787124950117</v>
      </c>
    </row>
    <row r="26" spans="1:3" x14ac:dyDescent="0.35">
      <c r="A26">
        <v>21</v>
      </c>
      <c r="B26" s="26" t="s">
        <v>44</v>
      </c>
      <c r="C26" s="27">
        <f>roboczy!$N$8</f>
        <v>1662.9787124950117</v>
      </c>
    </row>
    <row r="27" spans="1:3" x14ac:dyDescent="0.35">
      <c r="A27">
        <v>22</v>
      </c>
      <c r="B27" s="28" t="s">
        <v>45</v>
      </c>
      <c r="C27" s="27">
        <f>roboczy!$N$8</f>
        <v>1662.9787124950117</v>
      </c>
    </row>
    <row r="28" spans="1:3" x14ac:dyDescent="0.35">
      <c r="A28">
        <v>23</v>
      </c>
      <c r="B28" s="26" t="s">
        <v>46</v>
      </c>
      <c r="C28" s="27">
        <f>roboczy!$N$8</f>
        <v>1662.9787124950117</v>
      </c>
    </row>
    <row r="29" spans="1:3" x14ac:dyDescent="0.35">
      <c r="A29">
        <v>24</v>
      </c>
      <c r="B29" s="26" t="s">
        <v>47</v>
      </c>
      <c r="C29" s="30">
        <f>IF(roboczy!$G$11=$A29,roboczy!$N$8+roboczy!$H$12,IF(roboczy!$G$11&gt;$A29,roboczy!$N$8,0))</f>
        <v>1662.9787124950117</v>
      </c>
    </row>
    <row r="30" spans="1:3" x14ac:dyDescent="0.35">
      <c r="A30">
        <v>25</v>
      </c>
      <c r="B30" s="26" t="s">
        <v>48</v>
      </c>
      <c r="C30" s="30">
        <f>IF(roboczy!$G$11=$A30,roboczy!$N$8+roboczy!$H$12,IF(roboczy!$G$11&gt;$A30,roboczy!$N$8,0))</f>
        <v>1662.9787124950117</v>
      </c>
    </row>
    <row r="31" spans="1:3" x14ac:dyDescent="0.35">
      <c r="A31">
        <v>26</v>
      </c>
      <c r="B31" s="26" t="s">
        <v>49</v>
      </c>
      <c r="C31" s="30">
        <f>IF(roboczy!$G$11=$A31,roboczy!$N$8+roboczy!$H$12,IF(roboczy!$G$11&gt;$A31,roboczy!$N$8,0))</f>
        <v>1662.9787124950117</v>
      </c>
    </row>
    <row r="32" spans="1:3" x14ac:dyDescent="0.35">
      <c r="A32">
        <v>27</v>
      </c>
      <c r="B32" s="26" t="s">
        <v>50</v>
      </c>
      <c r="C32" s="30">
        <f>IF(roboczy!$G$11=$A32,roboczy!$N$8+roboczy!$H$12,IF(roboczy!$G$11&gt;$A32,roboczy!$N$8,0))</f>
        <v>1662.9787124950117</v>
      </c>
    </row>
    <row r="33" spans="1:3" x14ac:dyDescent="0.35">
      <c r="A33">
        <v>28</v>
      </c>
      <c r="B33" s="26" t="s">
        <v>51</v>
      </c>
      <c r="C33" s="30">
        <f>IF(roboczy!$G$11=$A33,roboczy!$N$8+roboczy!$H$12,IF(roboczy!$G$11&gt;$A33,roboczy!$N$8,0))</f>
        <v>1662.9787124950117</v>
      </c>
    </row>
    <row r="34" spans="1:3" x14ac:dyDescent="0.35">
      <c r="A34">
        <v>29</v>
      </c>
      <c r="B34" s="26" t="s">
        <v>52</v>
      </c>
      <c r="C34" s="30">
        <f>IF(roboczy!$G$11=$A34,roboczy!$N$8+roboczy!$H$12,IF(roboczy!$G$11&gt;$A34,roboczy!$N$8,0))</f>
        <v>1662.9787124950117</v>
      </c>
    </row>
    <row r="35" spans="1:3" x14ac:dyDescent="0.35">
      <c r="A35">
        <v>30</v>
      </c>
      <c r="B35" s="26" t="s">
        <v>53</v>
      </c>
      <c r="C35" s="30">
        <f>IF(roboczy!$G$11=$A35,roboczy!$N$8+roboczy!$H$12,IF(roboczy!$G$11&gt;$A35,roboczy!$N$8,0))</f>
        <v>1662.9787124950117</v>
      </c>
    </row>
    <row r="36" spans="1:3" x14ac:dyDescent="0.35">
      <c r="A36">
        <v>31</v>
      </c>
      <c r="B36" s="26" t="s">
        <v>54</v>
      </c>
      <c r="C36" s="30">
        <f>IF(roboczy!$G$11=$A36,roboczy!$N$8+roboczy!$H$12,IF(roboczy!$G$11&gt;$A36,roboczy!$N$8,0))</f>
        <v>1662.9787124950117</v>
      </c>
    </row>
    <row r="37" spans="1:3" x14ac:dyDescent="0.35">
      <c r="A37">
        <v>32</v>
      </c>
      <c r="B37" s="26" t="s">
        <v>55</v>
      </c>
      <c r="C37" s="30">
        <f>IF(roboczy!$G$11=$A37,roboczy!$N$8+roboczy!$H$12,IF(roboczy!$G$11&gt;$A37,roboczy!$N$8,0))</f>
        <v>1662.9787124950117</v>
      </c>
    </row>
    <row r="38" spans="1:3" x14ac:dyDescent="0.35">
      <c r="A38">
        <v>33</v>
      </c>
      <c r="B38" s="26" t="s">
        <v>56</v>
      </c>
      <c r="C38" s="30">
        <f>IF(roboczy!$G$11=$A38,roboczy!$N$8+roboczy!$H$12,IF(roboczy!$G$11&gt;$A38,roboczy!$N$8,0))</f>
        <v>1662.9787124950117</v>
      </c>
    </row>
    <row r="39" spans="1:3" x14ac:dyDescent="0.35">
      <c r="A39">
        <v>34</v>
      </c>
      <c r="B39" s="26" t="s">
        <v>57</v>
      </c>
      <c r="C39" s="30">
        <f>IF(roboczy!$G$11=$A39,roboczy!$N$8+roboczy!$H$12,IF(roboczy!$G$11&gt;$A39,roboczy!$N$8,0))</f>
        <v>1662.9787124950117</v>
      </c>
    </row>
    <row r="40" spans="1:3" x14ac:dyDescent="0.35">
      <c r="A40">
        <v>35</v>
      </c>
      <c r="B40" s="26" t="s">
        <v>58</v>
      </c>
      <c r="C40" s="30">
        <f>IF(roboczy!$G$11=$A40,roboczy!$N$8+roboczy!$H$12,IF(roboczy!$G$11&gt;$A40,roboczy!$N$8,0))</f>
        <v>1662.9787124950117</v>
      </c>
    </row>
    <row r="41" spans="1:3" x14ac:dyDescent="0.35">
      <c r="A41">
        <v>36</v>
      </c>
      <c r="B41" s="26" t="s">
        <v>59</v>
      </c>
      <c r="C41" s="30">
        <f>IF(roboczy!$G$11=$A41,roboczy!$N$8+roboczy!$H$12,IF(roboczy!$G$11&gt;$A41,roboczy!$N$8,0))</f>
        <v>1662.9787124950117</v>
      </c>
    </row>
    <row r="42" spans="1:3" x14ac:dyDescent="0.35">
      <c r="A42">
        <v>37</v>
      </c>
      <c r="B42" s="26" t="s">
        <v>60</v>
      </c>
      <c r="C42" s="30">
        <f>IF(roboczy!$G$11=$A42,roboczy!$N$8+roboczy!$H$12,IF(roboczy!$G$11&gt;$A42,roboczy!$N$8,0))</f>
        <v>1662.9787124950117</v>
      </c>
    </row>
    <row r="43" spans="1:3" x14ac:dyDescent="0.35">
      <c r="A43">
        <v>38</v>
      </c>
      <c r="B43" s="26" t="s">
        <v>61</v>
      </c>
      <c r="C43" s="30">
        <f>IF(roboczy!$G$11=$A43,roboczy!$N$8+roboczy!$H$12,IF(roboczy!$G$11&gt;$A43,roboczy!$N$8,0))</f>
        <v>1662.9787124950117</v>
      </c>
    </row>
    <row r="44" spans="1:3" x14ac:dyDescent="0.35">
      <c r="A44">
        <v>39</v>
      </c>
      <c r="B44" s="26" t="s">
        <v>62</v>
      </c>
      <c r="C44" s="30">
        <f>IF(roboczy!$G$11=$A44,roboczy!$N$8+roboczy!$H$12,IF(roboczy!$G$11&gt;$A44,roboczy!$N$8,0))</f>
        <v>1662.9787124950117</v>
      </c>
    </row>
    <row r="45" spans="1:3" x14ac:dyDescent="0.35">
      <c r="A45">
        <v>40</v>
      </c>
      <c r="B45" s="26" t="s">
        <v>63</v>
      </c>
      <c r="C45" s="30">
        <f>IF(roboczy!$G$11=$A45,roboczy!$N$8+roboczy!$H$12,IF(roboczy!$G$11&gt;$A45,roboczy!$N$8,0))</f>
        <v>1662.9787124950117</v>
      </c>
    </row>
    <row r="46" spans="1:3" x14ac:dyDescent="0.35">
      <c r="A46">
        <v>41</v>
      </c>
      <c r="B46" s="26" t="s">
        <v>64</v>
      </c>
      <c r="C46" s="30">
        <f>IF(roboczy!$G$11=$A46,roboczy!$N$8+roboczy!$H$12,IF(roboczy!$G$11&gt;$A46,roboczy!$N$8,0))</f>
        <v>1662.9787124950117</v>
      </c>
    </row>
    <row r="47" spans="1:3" x14ac:dyDescent="0.35">
      <c r="A47">
        <v>42</v>
      </c>
      <c r="B47" s="26" t="s">
        <v>65</v>
      </c>
      <c r="C47" s="30">
        <f>IF(roboczy!$G$11=$A47,roboczy!$N$8+roboczy!$H$12,IF(roboczy!$G$11&gt;$A47,roboczy!$N$8,0))</f>
        <v>1662.9787124950117</v>
      </c>
    </row>
    <row r="48" spans="1:3" x14ac:dyDescent="0.35">
      <c r="A48">
        <v>43</v>
      </c>
      <c r="B48" s="26" t="s">
        <v>66</v>
      </c>
      <c r="C48" s="30">
        <f>IF(roboczy!$G$11=$A48,roboczy!$N$8+roboczy!$H$12,IF(roboczy!$G$11&gt;$A48,roboczy!$N$8,0))</f>
        <v>1662.9787124950117</v>
      </c>
    </row>
    <row r="49" spans="1:3" x14ac:dyDescent="0.35">
      <c r="A49">
        <v>44</v>
      </c>
      <c r="B49" s="26" t="s">
        <v>67</v>
      </c>
      <c r="C49" s="30">
        <f>IF(roboczy!$G$11=$A49,roboczy!$N$8+roboczy!$H$12,IF(roboczy!$G$11&gt;$A49,roboczy!$N$8,0))</f>
        <v>1662.9787124950117</v>
      </c>
    </row>
    <row r="50" spans="1:3" x14ac:dyDescent="0.35">
      <c r="A50">
        <v>45</v>
      </c>
      <c r="B50" s="26" t="s">
        <v>68</v>
      </c>
      <c r="C50" s="30">
        <f>IF(roboczy!$G$11=$A50,roboczy!$N$8+roboczy!$H$12,IF(roboczy!$G$11&gt;$A50,roboczy!$N$8,0))</f>
        <v>1662.9787124950117</v>
      </c>
    </row>
    <row r="51" spans="1:3" x14ac:dyDescent="0.35">
      <c r="A51">
        <v>46</v>
      </c>
      <c r="B51" s="26" t="s">
        <v>69</v>
      </c>
      <c r="C51" s="30">
        <f>IF(roboczy!$G$11=$A51,roboczy!$N$8+roboczy!$H$12,IF(roboczy!$G$11&gt;$A51,roboczy!$N$8,0))</f>
        <v>1662.9787124950117</v>
      </c>
    </row>
    <row r="52" spans="1:3" x14ac:dyDescent="0.35">
      <c r="A52">
        <v>47</v>
      </c>
      <c r="B52" s="26" t="s">
        <v>70</v>
      </c>
      <c r="C52" s="30">
        <f>IF(roboczy!$G$11=$A52,roboczy!$N$8+roboczy!$H$12,IF(roboczy!$G$11&gt;$A52,roboczy!$N$8,0))</f>
        <v>1662.9787124950117</v>
      </c>
    </row>
    <row r="53" spans="1:3" x14ac:dyDescent="0.35">
      <c r="A53">
        <v>48</v>
      </c>
      <c r="B53" s="26" t="s">
        <v>71</v>
      </c>
      <c r="C53" s="30">
        <f>IF(roboczy!$G$11=$A53,roboczy!$N$8+roboczy!$H$12,IF(roboczy!$G$11&gt;$A53,roboczy!$N$8,0))</f>
        <v>1662.9787124950117</v>
      </c>
    </row>
    <row r="54" spans="1:3" x14ac:dyDescent="0.35">
      <c r="A54">
        <v>49</v>
      </c>
      <c r="B54" s="26" t="s">
        <v>72</v>
      </c>
      <c r="C54" s="30">
        <f>IF(roboczy!$G$11=$A54,roboczy!$N$8+roboczy!$H$12,IF(roboczy!$G$11&gt;$A54,roboczy!$N$8,0))</f>
        <v>1662.9787124950117</v>
      </c>
    </row>
    <row r="55" spans="1:3" x14ac:dyDescent="0.35">
      <c r="A55">
        <v>50</v>
      </c>
      <c r="B55" s="26" t="s">
        <v>73</v>
      </c>
      <c r="C55" s="30">
        <f>IF(roboczy!$G$11=$A55,roboczy!$N$8+roboczy!$H$12,IF(roboczy!$G$11&gt;$A55,roboczy!$N$8,0))</f>
        <v>1662.9787124950117</v>
      </c>
    </row>
    <row r="56" spans="1:3" x14ac:dyDescent="0.35">
      <c r="A56">
        <v>51</v>
      </c>
      <c r="B56" s="26" t="s">
        <v>74</v>
      </c>
      <c r="C56" s="30">
        <f>IF(roboczy!$G$11=$A56,roboczy!$N$8+roboczy!$H$12,IF(roboczy!$G$11&gt;$A56,roboczy!$N$8,0))</f>
        <v>1662.9787124950117</v>
      </c>
    </row>
    <row r="57" spans="1:3" x14ac:dyDescent="0.35">
      <c r="A57">
        <v>52</v>
      </c>
      <c r="B57" s="26" t="s">
        <v>75</v>
      </c>
      <c r="C57" s="30">
        <f>IF(roboczy!$G$11=$A57,roboczy!$N$8+roboczy!$H$12,IF(roboczy!$G$11&gt;$A57,roboczy!$N$8,0))</f>
        <v>1662.9787124950117</v>
      </c>
    </row>
    <row r="58" spans="1:3" x14ac:dyDescent="0.35">
      <c r="A58">
        <v>53</v>
      </c>
      <c r="B58" s="26" t="s">
        <v>76</v>
      </c>
      <c r="C58" s="30">
        <f>IF(roboczy!$G$11=$A58,roboczy!$N$8+roboczy!$H$12,IF(roboczy!$G$11&gt;$A58,roboczy!$N$8,0))</f>
        <v>1662.9787124950117</v>
      </c>
    </row>
    <row r="59" spans="1:3" x14ac:dyDescent="0.35">
      <c r="A59">
        <v>54</v>
      </c>
      <c r="B59" s="26" t="s">
        <v>77</v>
      </c>
      <c r="C59" s="30">
        <f>IF(roboczy!$G$11=$A59,roboczy!$N$8+roboczy!$H$12,IF(roboczy!$G$11&gt;$A59,roboczy!$N$8,0))</f>
        <v>1662.9787124950117</v>
      </c>
    </row>
    <row r="60" spans="1:3" x14ac:dyDescent="0.35">
      <c r="A60">
        <v>55</v>
      </c>
      <c r="B60" s="26" t="s">
        <v>78</v>
      </c>
      <c r="C60" s="30">
        <f>IF(roboczy!$G$11=$A60,roboczy!$N$8+roboczy!$H$12,IF(roboczy!$G$11&gt;$A60,roboczy!$N$8,0))</f>
        <v>1662.9787124950117</v>
      </c>
    </row>
    <row r="61" spans="1:3" x14ac:dyDescent="0.35">
      <c r="A61">
        <v>56</v>
      </c>
      <c r="B61" s="26" t="s">
        <v>79</v>
      </c>
      <c r="C61" s="30">
        <f>IF(roboczy!$G$11=$A61,roboczy!$N$8+roboczy!$H$12,IF(roboczy!$G$11&gt;$A61,roboczy!$N$8,0))</f>
        <v>1662.9787124950117</v>
      </c>
    </row>
    <row r="62" spans="1:3" x14ac:dyDescent="0.35">
      <c r="A62">
        <v>57</v>
      </c>
      <c r="B62" s="26" t="s">
        <v>80</v>
      </c>
      <c r="C62" s="30">
        <f>IF(roboczy!$G$11=$A62,roboczy!$N$8+roboczy!$H$12,IF(roboczy!$G$11&gt;$A62,roboczy!$N$8,0))</f>
        <v>1662.9787124950117</v>
      </c>
    </row>
    <row r="63" spans="1:3" x14ac:dyDescent="0.35">
      <c r="A63">
        <v>58</v>
      </c>
      <c r="B63" s="26" t="s">
        <v>81</v>
      </c>
      <c r="C63" s="30">
        <f>IF(roboczy!$G$11=$A63,roboczy!$N$8+roboczy!$H$12,IF(roboczy!$G$11&gt;$A63,roboczy!$N$8,0))</f>
        <v>1662.9787124950117</v>
      </c>
    </row>
    <row r="64" spans="1:3" x14ac:dyDescent="0.35">
      <c r="A64">
        <v>59</v>
      </c>
      <c r="B64" s="26" t="s">
        <v>82</v>
      </c>
      <c r="C64" s="30">
        <f>IF(roboczy!$G$11=$A64,roboczy!$N$8+roboczy!$H$12,IF(roboczy!$G$11&gt;$A64,roboczy!$N$8,0))</f>
        <v>1662.9787124950117</v>
      </c>
    </row>
    <row r="65" spans="1:3" x14ac:dyDescent="0.35">
      <c r="A65">
        <v>60</v>
      </c>
      <c r="B65" s="26" t="s">
        <v>83</v>
      </c>
      <c r="C65" s="30">
        <f>IF(roboczy!$G$11=$A65,roboczy!$N$8+roboczy!$H$12,IF(roboczy!$G$11&gt;$A65,roboczy!$N$8,0))</f>
        <v>2662.9787124950117</v>
      </c>
    </row>
    <row r="66" spans="1:3" x14ac:dyDescent="0.35">
      <c r="A66">
        <v>61</v>
      </c>
      <c r="B66" s="26" t="s">
        <v>84</v>
      </c>
      <c r="C66" s="30">
        <f>IF(roboczy!$G$11=$A66,roboczy!$N$8+roboczy!$H$12,IF(roboczy!$G$11&gt;$A66,roboczy!$N$8,0))</f>
        <v>0</v>
      </c>
    </row>
    <row r="67" spans="1:3" x14ac:dyDescent="0.35">
      <c r="A67">
        <v>62</v>
      </c>
      <c r="B67" s="26" t="s">
        <v>85</v>
      </c>
      <c r="C67" s="30">
        <f>IF(roboczy!$G$11=$A67,roboczy!$N$8+roboczy!$H$12,IF(roboczy!$G$11&gt;$A67,roboczy!$N$8,0))</f>
        <v>0</v>
      </c>
    </row>
    <row r="68" spans="1:3" x14ac:dyDescent="0.35">
      <c r="A68">
        <v>63</v>
      </c>
      <c r="B68" s="26" t="s">
        <v>86</v>
      </c>
      <c r="C68" s="30">
        <f>IF(roboczy!$G$11=$A68,roboczy!$N$8+roboczy!$H$12,IF(roboczy!$G$11&gt;$A68,roboczy!$N$8,0))</f>
        <v>0</v>
      </c>
    </row>
    <row r="69" spans="1:3" x14ac:dyDescent="0.35">
      <c r="A69">
        <v>64</v>
      </c>
      <c r="B69" s="26" t="s">
        <v>87</v>
      </c>
      <c r="C69" s="30">
        <f>IF(roboczy!$G$11=$A69,roboczy!$N$8+roboczy!$H$12,IF(roboczy!$G$11&gt;$A69,roboczy!$N$8,0))</f>
        <v>0</v>
      </c>
    </row>
    <row r="70" spans="1:3" x14ac:dyDescent="0.35">
      <c r="A70">
        <v>65</v>
      </c>
      <c r="B70" s="26" t="s">
        <v>88</v>
      </c>
      <c r="C70" s="30">
        <f>IF(roboczy!$G$11=$A70,roboczy!$N$8+roboczy!$H$12,IF(roboczy!$G$11&gt;$A70,roboczy!$N$8,0))</f>
        <v>0</v>
      </c>
    </row>
    <row r="71" spans="1:3" x14ac:dyDescent="0.35">
      <c r="A71">
        <v>66</v>
      </c>
      <c r="B71" s="26" t="s">
        <v>89</v>
      </c>
      <c r="C71" s="30">
        <f>IF(roboczy!$G$11=$A71,roboczy!$N$8+roboczy!$H$12,IF(roboczy!$G$11&gt;$A71,roboczy!$N$8,0))</f>
        <v>0</v>
      </c>
    </row>
    <row r="72" spans="1:3" x14ac:dyDescent="0.35">
      <c r="A72">
        <v>67</v>
      </c>
      <c r="B72" s="26" t="s">
        <v>90</v>
      </c>
      <c r="C72" s="30">
        <f>IF(roboczy!$G$11=$A72,roboczy!$N$8+roboczy!$H$12,IF(roboczy!$G$11&gt;$A72,roboczy!$N$8,0))</f>
        <v>0</v>
      </c>
    </row>
    <row r="73" spans="1:3" x14ac:dyDescent="0.35">
      <c r="A73">
        <v>68</v>
      </c>
      <c r="B73" s="26" t="s">
        <v>91</v>
      </c>
      <c r="C73" s="30">
        <f>IF(roboczy!$G$11=$A73,roboczy!$N$8+roboczy!$H$12,IF(roboczy!$G$11&gt;$A73,roboczy!$N$8,0))</f>
        <v>0</v>
      </c>
    </row>
    <row r="74" spans="1:3" x14ac:dyDescent="0.35">
      <c r="A74">
        <v>69</v>
      </c>
      <c r="B74" s="26" t="s">
        <v>92</v>
      </c>
      <c r="C74" s="30">
        <f>IF(roboczy!$G$11=$A74,roboczy!$N$8+roboczy!$H$12,IF(roboczy!$G$11&gt;$A74,roboczy!$N$8,0))</f>
        <v>0</v>
      </c>
    </row>
    <row r="75" spans="1:3" x14ac:dyDescent="0.35">
      <c r="A75">
        <v>70</v>
      </c>
      <c r="B75" s="26" t="s">
        <v>93</v>
      </c>
      <c r="C75" s="30">
        <f>IF(roboczy!$G$11=$A75,roboczy!$N$8+roboczy!$H$12,IF(roboczy!$G$11&gt;$A75,roboczy!$N$8,0))</f>
        <v>0</v>
      </c>
    </row>
    <row r="76" spans="1:3" x14ac:dyDescent="0.35">
      <c r="A76">
        <v>71</v>
      </c>
      <c r="B76" s="26" t="s">
        <v>94</v>
      </c>
      <c r="C76" s="30">
        <f>IF(roboczy!$G$11=$A76,roboczy!$N$8+roboczy!$H$12,IF(roboczy!$G$11&gt;$A76,roboczy!$N$8,0))</f>
        <v>0</v>
      </c>
    </row>
    <row r="77" spans="1:3" x14ac:dyDescent="0.35">
      <c r="A77">
        <v>72</v>
      </c>
      <c r="B77" s="26" t="s">
        <v>95</v>
      </c>
      <c r="C77" s="30">
        <f>IF(roboczy!$G$11=$A77,roboczy!$N$8+roboczy!$H$12,IF(roboczy!$G$11&gt;$A77,roboczy!$N$8,0))</f>
        <v>0</v>
      </c>
    </row>
    <row r="78" spans="1:3" x14ac:dyDescent="0.35">
      <c r="A78">
        <v>73</v>
      </c>
      <c r="B78" s="26" t="s">
        <v>96</v>
      </c>
      <c r="C78" s="30">
        <f>IF(roboczy!$G$11=$A78,roboczy!$N$8+roboczy!$H$12,IF(roboczy!$G$11&gt;$A78,roboczy!$N$8,0))</f>
        <v>0</v>
      </c>
    </row>
    <row r="79" spans="1:3" x14ac:dyDescent="0.35">
      <c r="A79">
        <v>74</v>
      </c>
      <c r="B79" s="26" t="s">
        <v>97</v>
      </c>
      <c r="C79" s="30">
        <f>IF(roboczy!$G$11=$A79,roboczy!$N$8+roboczy!$H$12,IF(roboczy!$G$11&gt;$A79,roboczy!$N$8,0))</f>
        <v>0</v>
      </c>
    </row>
    <row r="80" spans="1:3" x14ac:dyDescent="0.35">
      <c r="A80">
        <v>75</v>
      </c>
      <c r="B80" s="26" t="s">
        <v>98</v>
      </c>
      <c r="C80" s="30">
        <f>IF(roboczy!$G$11=$A80,roboczy!$N$8+roboczy!$H$12,IF(roboczy!$G$11&gt;$A80,roboczy!$N$8,0))</f>
        <v>0</v>
      </c>
    </row>
    <row r="81" spans="1:3" x14ac:dyDescent="0.35">
      <c r="A81">
        <v>76</v>
      </c>
      <c r="B81" s="26" t="s">
        <v>99</v>
      </c>
      <c r="C81" s="30">
        <f>IF(roboczy!$G$11=$A81,roboczy!$N$8+roboczy!$H$12,IF(roboczy!$G$11&gt;$A81,roboczy!$N$8,0))</f>
        <v>0</v>
      </c>
    </row>
    <row r="82" spans="1:3" x14ac:dyDescent="0.35">
      <c r="A82">
        <v>77</v>
      </c>
      <c r="B82" s="26" t="s">
        <v>100</v>
      </c>
      <c r="C82" s="30">
        <f>IF(roboczy!$G$11=$A82,roboczy!$N$8+roboczy!$H$12,IF(roboczy!$G$11&gt;$A82,roboczy!$N$8,0))</f>
        <v>0</v>
      </c>
    </row>
    <row r="83" spans="1:3" x14ac:dyDescent="0.35">
      <c r="A83">
        <v>78</v>
      </c>
      <c r="B83" s="26" t="s">
        <v>101</v>
      </c>
      <c r="C83" s="30">
        <f>IF(roboczy!$G$11=$A83,roboczy!$N$8+roboczy!$H$12,IF(roboczy!$G$11&gt;$A83,roboczy!$N$8,0))</f>
        <v>0</v>
      </c>
    </row>
    <row r="84" spans="1:3" x14ac:dyDescent="0.35">
      <c r="A84">
        <v>79</v>
      </c>
      <c r="B84" s="26" t="s">
        <v>102</v>
      </c>
      <c r="C84" s="30">
        <f>IF(roboczy!$G$11=$A84,roboczy!$N$8+roboczy!$H$12,IF(roboczy!$G$11&gt;$A84,roboczy!$N$8,0))</f>
        <v>0</v>
      </c>
    </row>
    <row r="85" spans="1:3" x14ac:dyDescent="0.35">
      <c r="A85">
        <v>80</v>
      </c>
      <c r="B85" s="26" t="s">
        <v>103</v>
      </c>
      <c r="C85" s="30">
        <f>IF(roboczy!$G$11=$A85,roboczy!$N$8+roboczy!$H$12,IF(roboczy!$G$11&gt;$A85,roboczy!$N$8,0))</f>
        <v>0</v>
      </c>
    </row>
    <row r="86" spans="1:3" x14ac:dyDescent="0.35">
      <c r="A86">
        <v>81</v>
      </c>
      <c r="B86" s="26" t="s">
        <v>104</v>
      </c>
      <c r="C86" s="30">
        <f>IF(roboczy!$G$11=$A86,roboczy!$N$8+roboczy!$H$12,IF(roboczy!$G$11&gt;$A86,roboczy!$N$8,0))</f>
        <v>0</v>
      </c>
    </row>
    <row r="87" spans="1:3" x14ac:dyDescent="0.35">
      <c r="A87">
        <v>82</v>
      </c>
      <c r="B87" s="26" t="s">
        <v>105</v>
      </c>
      <c r="C87" s="30">
        <f>IF(roboczy!$G$11=$A87,roboczy!$N$8+roboczy!$H$12,IF(roboczy!$G$11&gt;$A87,roboczy!$N$8,0))</f>
        <v>0</v>
      </c>
    </row>
    <row r="88" spans="1:3" x14ac:dyDescent="0.35">
      <c r="A88">
        <v>83</v>
      </c>
      <c r="B88" s="26" t="s">
        <v>106</v>
      </c>
      <c r="C88" s="30">
        <f>IF(roboczy!$G$11=$A88,roboczy!$N$8+roboczy!$H$12,IF(roboczy!$G$11&gt;$A88,roboczy!$N$8,0))</f>
        <v>0</v>
      </c>
    </row>
    <row r="89" spans="1:3" x14ac:dyDescent="0.35">
      <c r="A89">
        <v>84</v>
      </c>
      <c r="B89" s="26" t="s">
        <v>107</v>
      </c>
      <c r="C89" s="30">
        <f>IF(roboczy!$G$11=$A89,roboczy!$N$8+roboczy!$H$12,IF(roboczy!$G$11&gt;$A89,roboczy!$N$8,0))</f>
        <v>0</v>
      </c>
    </row>
    <row r="90" spans="1:3" x14ac:dyDescent="0.35">
      <c r="B90" s="29"/>
      <c r="C90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workbookViewId="0">
      <selection activeCell="I5" sqref="I5"/>
    </sheetView>
  </sheetViews>
  <sheetFormatPr defaultRowHeight="14.5" x14ac:dyDescent="0.35"/>
  <cols>
    <col min="2" max="2" width="10" bestFit="1" customWidth="1"/>
    <col min="3" max="3" width="6" bestFit="1" customWidth="1"/>
    <col min="4" max="4" width="10.08984375" bestFit="1" customWidth="1"/>
    <col min="5" max="5" width="10" bestFit="1" customWidth="1"/>
    <col min="6" max="6" width="11" bestFit="1" customWidth="1"/>
    <col min="7" max="7" width="11.36328125" bestFit="1" customWidth="1"/>
  </cols>
  <sheetData>
    <row r="3" spans="2:9" x14ac:dyDescent="0.35">
      <c r="B3" t="s">
        <v>123</v>
      </c>
      <c r="C3" t="s">
        <v>119</v>
      </c>
      <c r="D3" t="s">
        <v>124</v>
      </c>
      <c r="E3" t="s">
        <v>125</v>
      </c>
      <c r="F3" t="s">
        <v>127</v>
      </c>
      <c r="G3" t="s">
        <v>128</v>
      </c>
      <c r="I3" t="s">
        <v>108</v>
      </c>
    </row>
    <row r="4" spans="2:9" x14ac:dyDescent="0.35">
      <c r="E4" t="s">
        <v>126</v>
      </c>
      <c r="F4" t="s">
        <v>126</v>
      </c>
      <c r="I4" t="s">
        <v>109</v>
      </c>
    </row>
    <row r="5" spans="2:9" x14ac:dyDescent="0.35">
      <c r="B5" t="s">
        <v>120</v>
      </c>
      <c r="C5">
        <v>6.75</v>
      </c>
      <c r="D5" s="1">
        <v>4.8099999999999997E-2</v>
      </c>
      <c r="E5" s="1">
        <v>-7.4000000000000003E-3</v>
      </c>
      <c r="F5" s="1">
        <v>3.6900000000000002E-2</v>
      </c>
      <c r="G5" s="32">
        <v>45156</v>
      </c>
    </row>
    <row r="6" spans="2:9" x14ac:dyDescent="0.35">
      <c r="B6" t="s">
        <v>121</v>
      </c>
      <c r="C6">
        <v>6.82</v>
      </c>
      <c r="D6" s="1">
        <v>1.5E-3</v>
      </c>
      <c r="E6" s="1">
        <v>5.8999999999999999E-3</v>
      </c>
      <c r="F6" s="1">
        <v>2.2499999999999999E-2</v>
      </c>
      <c r="G6" s="32">
        <v>45156</v>
      </c>
    </row>
    <row r="7" spans="2:9" x14ac:dyDescent="0.35">
      <c r="B7" t="s">
        <v>129</v>
      </c>
      <c r="C7">
        <v>6.84</v>
      </c>
      <c r="D7" s="1">
        <v>0</v>
      </c>
      <c r="E7" s="1">
        <v>0</v>
      </c>
      <c r="F7" s="1">
        <v>1.6299999999999999E-2</v>
      </c>
      <c r="G7" s="32">
        <v>45156</v>
      </c>
    </row>
    <row r="8" spans="2:9" x14ac:dyDescent="0.35">
      <c r="B8" t="s">
        <v>130</v>
      </c>
      <c r="C8">
        <v>6.84</v>
      </c>
      <c r="D8" s="1">
        <v>0</v>
      </c>
      <c r="E8" s="1">
        <v>0</v>
      </c>
      <c r="F8" s="1">
        <v>1.03E-2</v>
      </c>
      <c r="G8" s="32">
        <v>45156</v>
      </c>
    </row>
    <row r="9" spans="2:9" x14ac:dyDescent="0.35">
      <c r="B9" t="s">
        <v>112</v>
      </c>
      <c r="C9">
        <v>6.81</v>
      </c>
      <c r="D9" s="1">
        <v>0</v>
      </c>
      <c r="E9" s="1">
        <v>-7.3000000000000001E-3</v>
      </c>
      <c r="F9" s="1">
        <v>-7.3000000000000001E-3</v>
      </c>
      <c r="G9" s="32">
        <v>45156</v>
      </c>
    </row>
    <row r="10" spans="2:9" x14ac:dyDescent="0.35">
      <c r="B10" t="s">
        <v>113</v>
      </c>
      <c r="C10">
        <v>6.69</v>
      </c>
      <c r="D10" s="1">
        <v>1.5E-3</v>
      </c>
      <c r="E10" s="1">
        <v>-3.04E-2</v>
      </c>
      <c r="F10" s="1">
        <v>-4.9700000000000001E-2</v>
      </c>
      <c r="G10" s="32">
        <v>45156</v>
      </c>
    </row>
    <row r="11" spans="2:9" x14ac:dyDescent="0.35">
      <c r="B11" t="s">
        <v>122</v>
      </c>
      <c r="C11">
        <v>6.54</v>
      </c>
      <c r="D11" s="1">
        <v>0</v>
      </c>
      <c r="E11" s="1">
        <v>-5.8999999999999997E-2</v>
      </c>
      <c r="F11" s="1">
        <v>-0.1041</v>
      </c>
      <c r="G11" s="32">
        <v>45156</v>
      </c>
    </row>
    <row r="12" spans="2:9" x14ac:dyDescent="0.35">
      <c r="B12" t="s">
        <v>131</v>
      </c>
      <c r="C12">
        <v>6.5</v>
      </c>
      <c r="D12" s="1">
        <v>0</v>
      </c>
      <c r="E12" s="1">
        <v>-7.9299999999999995E-2</v>
      </c>
      <c r="F12" s="1">
        <v>-0.1263</v>
      </c>
      <c r="G12" s="32">
        <v>45156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Arkusz1</vt:lpstr>
      <vt:lpstr>roboczy</vt:lpstr>
      <vt:lpstr>kalkulator</vt:lpstr>
      <vt:lpstr>Arkusz3</vt:lpstr>
      <vt:lpstr>www </vt:lpstr>
      <vt:lpstr>'www '!wibor.money.pl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Baumgart</dc:creator>
  <cp:lastModifiedBy>Grzegorz Baumgart</cp:lastModifiedBy>
  <dcterms:created xsi:type="dcterms:W3CDTF">2020-11-15T13:07:52Z</dcterms:created>
  <dcterms:modified xsi:type="dcterms:W3CDTF">2023-08-20T15:36:16Z</dcterms:modified>
</cp:coreProperties>
</file>