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P\Dropbox\Mój komputer (hp-spectre)\Desktop\backup\LBT\"/>
    </mc:Choice>
  </mc:AlternateContent>
  <bookViews>
    <workbookView xWindow="-110" yWindow="-110" windowWidth="38620" windowHeight="21100" firstSheet="2" activeTab="2"/>
  </bookViews>
  <sheets>
    <sheet name="Arkusz1" sheetId="1" state="hidden" r:id="rId1"/>
    <sheet name="roboczy" sheetId="2" state="hidden" r:id="rId2"/>
    <sheet name="kalkulator" sheetId="5" r:id="rId3"/>
    <sheet name="scenariusz" sheetId="7" state="hidden" r:id="rId4"/>
    <sheet name="Arkusz4" sheetId="8" state="hidden" r:id="rId5"/>
    <sheet name="Arkusz3" sheetId="3" state="hidden" r:id="rId6"/>
    <sheet name="www " sheetId="6" state="hidden" r:id="rId7"/>
  </sheets>
  <definedNames>
    <definedName name="czas">OFFSET(scenariusz!$L$2,0,0,COUNT(scenariusz!$L$2:$L$21),1)</definedName>
    <definedName name="czas1">OFFSET(kalkulator!#REF!,0,0,COUNT(kalkulator!#REF!),1)</definedName>
    <definedName name="stala">OFFSET(scenariusz!$N$2,0,0,COUNT(scenariusz!$N$2:$N$21),1)</definedName>
    <definedName name="stala1">OFFSET(kalkulator!$O$28,0,0,COUNT(kalkulator!$O$28:$O$47),1)</definedName>
    <definedName name="wibor.money.pl" localSheetId="6">'www '!$B$3:$G$12</definedName>
    <definedName name="zmienna">OFFSET(scenariusz!$M$2,0,0,COUNT(scenariusz!$M$2:$M$21),1)</definedName>
    <definedName name="zmienna1">OFFSET(kalkulator!$N$28,0,0,COUNT(kalkulator!$N$28:$N$47),1)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5" l="1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28" i="5"/>
  <c r="H13" i="5" l="1"/>
  <c r="J29" i="5" s="1"/>
  <c r="O7" i="5"/>
  <c r="H9" i="5"/>
  <c r="J46" i="5" l="1"/>
  <c r="J45" i="5"/>
  <c r="J37" i="5"/>
  <c r="J44" i="5"/>
  <c r="J36" i="5"/>
  <c r="J42" i="5"/>
  <c r="J34" i="5"/>
  <c r="J41" i="5"/>
  <c r="J33" i="5"/>
  <c r="J28" i="5"/>
  <c r="J32" i="5"/>
  <c r="J43" i="5"/>
  <c r="J35" i="5"/>
  <c r="J40" i="5"/>
  <c r="J47" i="5"/>
  <c r="J39" i="5"/>
  <c r="J31" i="5"/>
  <c r="J38" i="5"/>
  <c r="J30" i="5"/>
  <c r="H32" i="5"/>
  <c r="H33" i="5" s="1"/>
  <c r="N7" i="5" l="1"/>
  <c r="G12" i="5" s="1"/>
  <c r="G15" i="5" s="1"/>
  <c r="U12" i="5" l="1"/>
  <c r="S12" i="5"/>
  <c r="H15" i="5"/>
  <c r="T12" i="5" s="1"/>
  <c r="L28" i="5" l="1"/>
  <c r="L32" i="5"/>
  <c r="L36" i="5"/>
  <c r="L40" i="5"/>
  <c r="L44" i="5"/>
  <c r="L39" i="5"/>
  <c r="L29" i="5"/>
  <c r="L33" i="5"/>
  <c r="L37" i="5"/>
  <c r="L41" i="5"/>
  <c r="L45" i="5"/>
  <c r="L31" i="5"/>
  <c r="L43" i="5"/>
  <c r="L30" i="5"/>
  <c r="L34" i="5"/>
  <c r="L38" i="5"/>
  <c r="L42" i="5"/>
  <c r="L46" i="5"/>
  <c r="L35" i="5"/>
  <c r="L47" i="5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B20" i="7"/>
  <c r="C17" i="7"/>
  <c r="B16" i="7"/>
  <c r="F14" i="7"/>
  <c r="C14" i="7"/>
  <c r="C13" i="7"/>
  <c r="B4" i="7"/>
  <c r="D4" i="7" s="1"/>
  <c r="J12" i="5"/>
  <c r="H7" i="5"/>
  <c r="G26" i="2"/>
  <c r="I13" i="2" s="1"/>
  <c r="H18" i="2" s="1"/>
  <c r="G25" i="2"/>
  <c r="G18" i="2"/>
  <c r="H14" i="2"/>
  <c r="J13" i="2"/>
  <c r="I18" i="2" s="1"/>
  <c r="H12" i="2"/>
  <c r="H10" i="2"/>
  <c r="I17" i="2" s="1"/>
  <c r="P8" i="2" s="1"/>
  <c r="G18" i="1"/>
  <c r="G17" i="1"/>
  <c r="N8" i="1" s="1"/>
  <c r="H12" i="1"/>
  <c r="H10" i="1"/>
  <c r="G19" i="1" l="1"/>
  <c r="N14" i="1" s="1"/>
  <c r="N12" i="1" s="1"/>
  <c r="N9" i="1"/>
  <c r="P9" i="2"/>
  <c r="I19" i="2"/>
  <c r="P14" i="2" s="1"/>
  <c r="P12" i="2" s="1"/>
  <c r="G17" i="2"/>
  <c r="C21" i="7"/>
  <c r="C22" i="7" s="1"/>
  <c r="C23" i="7" s="1"/>
  <c r="C24" i="7" s="1"/>
  <c r="H17" i="2"/>
  <c r="O8" i="2" s="1"/>
  <c r="B47" i="5"/>
  <c r="I2" i="7"/>
  <c r="S11" i="5"/>
  <c r="T11" i="5"/>
  <c r="U11" i="5"/>
  <c r="P12" i="5" s="1"/>
  <c r="L20" i="7"/>
  <c r="L16" i="7"/>
  <c r="L12" i="7"/>
  <c r="L8" i="7"/>
  <c r="L4" i="7"/>
  <c r="L2" i="7"/>
  <c r="L13" i="7"/>
  <c r="L9" i="7"/>
  <c r="L19" i="7"/>
  <c r="L15" i="7"/>
  <c r="L11" i="7"/>
  <c r="L7" i="7"/>
  <c r="L3" i="7"/>
  <c r="L17" i="7"/>
  <c r="L5" i="7"/>
  <c r="L18" i="7"/>
  <c r="L14" i="7"/>
  <c r="L10" i="7"/>
  <c r="L6" i="7"/>
  <c r="L21" i="7"/>
  <c r="I3" i="7"/>
  <c r="I7" i="7"/>
  <c r="I11" i="7"/>
  <c r="I15" i="7"/>
  <c r="I19" i="7"/>
  <c r="I4" i="7"/>
  <c r="I8" i="7"/>
  <c r="I12" i="7"/>
  <c r="I16" i="7"/>
  <c r="I5" i="7"/>
  <c r="I9" i="7"/>
  <c r="I13" i="7"/>
  <c r="I17" i="7"/>
  <c r="I20" i="7"/>
  <c r="I6" i="7"/>
  <c r="I10" i="7"/>
  <c r="I14" i="7"/>
  <c r="I18" i="7"/>
  <c r="I21" i="7"/>
  <c r="K2" i="7"/>
  <c r="N3" i="7"/>
  <c r="N7" i="7"/>
  <c r="N11" i="7"/>
  <c r="N15" i="7"/>
  <c r="N19" i="7"/>
  <c r="N5" i="7"/>
  <c r="N13" i="7"/>
  <c r="N18" i="7"/>
  <c r="N4" i="7"/>
  <c r="N8" i="7"/>
  <c r="N12" i="7"/>
  <c r="N16" i="7"/>
  <c r="N20" i="7"/>
  <c r="N9" i="7"/>
  <c r="N21" i="7"/>
  <c r="N10" i="7"/>
  <c r="N2" i="7"/>
  <c r="N17" i="7"/>
  <c r="N6" i="7"/>
  <c r="N14" i="7"/>
  <c r="K3" i="7"/>
  <c r="K14" i="7"/>
  <c r="M14" i="7" s="1"/>
  <c r="O14" i="7" s="1"/>
  <c r="K15" i="7"/>
  <c r="M15" i="7" s="1"/>
  <c r="O15" i="7" s="1"/>
  <c r="K17" i="7"/>
  <c r="M17" i="7" s="1"/>
  <c r="O17" i="7" s="1"/>
  <c r="K18" i="7"/>
  <c r="M18" i="7" s="1"/>
  <c r="O18" i="7" s="1"/>
  <c r="K19" i="7"/>
  <c r="M19" i="7" s="1"/>
  <c r="O19" i="7" s="1"/>
  <c r="E4" i="7"/>
  <c r="K8" i="7"/>
  <c r="M8" i="7" s="1"/>
  <c r="O8" i="7" s="1"/>
  <c r="K9" i="7"/>
  <c r="M9" i="7" s="1"/>
  <c r="O9" i="7" s="1"/>
  <c r="K10" i="7"/>
  <c r="M10" i="7" s="1"/>
  <c r="O10" i="7" s="1"/>
  <c r="K11" i="7"/>
  <c r="M11" i="7" s="1"/>
  <c r="O11" i="7" s="1"/>
  <c r="K12" i="7"/>
  <c r="M12" i="7" s="1"/>
  <c r="O12" i="7" s="1"/>
  <c r="K16" i="7"/>
  <c r="M16" i="7" s="1"/>
  <c r="O16" i="7" s="1"/>
  <c r="K20" i="7"/>
  <c r="M20" i="7" s="1"/>
  <c r="O20" i="7" s="1"/>
  <c r="K13" i="7"/>
  <c r="M13" i="7" s="1"/>
  <c r="O13" i="7" s="1"/>
  <c r="K21" i="7"/>
  <c r="M21" i="7" s="1"/>
  <c r="O21" i="7" s="1"/>
  <c r="K4" i="7"/>
  <c r="K5" i="7"/>
  <c r="M5" i="7" s="1"/>
  <c r="O5" i="7" s="1"/>
  <c r="K6" i="7"/>
  <c r="M6" i="7" s="1"/>
  <c r="O6" i="7" s="1"/>
  <c r="K7" i="7"/>
  <c r="M7" i="7" s="1"/>
  <c r="O7" i="7" s="1"/>
  <c r="C5" i="3" l="1"/>
  <c r="N8" i="2"/>
  <c r="M2" i="7"/>
  <c r="O2" i="7" s="1"/>
  <c r="M4" i="7"/>
  <c r="O4" i="7" s="1"/>
  <c r="O9" i="2"/>
  <c r="H19" i="2"/>
  <c r="O14" i="2" s="1"/>
  <c r="O12" i="2" s="1"/>
  <c r="B25" i="7"/>
  <c r="N30" i="5"/>
  <c r="P30" i="5" s="1"/>
  <c r="N34" i="5"/>
  <c r="P34" i="5" s="1"/>
  <c r="N38" i="5"/>
  <c r="P38" i="5" s="1"/>
  <c r="N42" i="5"/>
  <c r="P42" i="5" s="1"/>
  <c r="N46" i="5"/>
  <c r="P46" i="5" s="1"/>
  <c r="N37" i="5"/>
  <c r="P37" i="5" s="1"/>
  <c r="N31" i="5"/>
  <c r="P31" i="5" s="1"/>
  <c r="N35" i="5"/>
  <c r="P35" i="5" s="1"/>
  <c r="N39" i="5"/>
  <c r="P39" i="5" s="1"/>
  <c r="N43" i="5"/>
  <c r="P43" i="5" s="1"/>
  <c r="N47" i="5"/>
  <c r="P47" i="5" s="1"/>
  <c r="N33" i="5"/>
  <c r="P33" i="5" s="1"/>
  <c r="N45" i="5"/>
  <c r="P45" i="5" s="1"/>
  <c r="N32" i="5"/>
  <c r="P32" i="5" s="1"/>
  <c r="N36" i="5"/>
  <c r="P36" i="5" s="1"/>
  <c r="N40" i="5"/>
  <c r="P40" i="5" s="1"/>
  <c r="N44" i="5"/>
  <c r="P44" i="5" s="1"/>
  <c r="N29" i="5"/>
  <c r="P29" i="5" s="1"/>
  <c r="N41" i="5"/>
  <c r="P41" i="5" s="1"/>
  <c r="N28" i="5"/>
  <c r="N12" i="5"/>
  <c r="N15" i="5" s="1"/>
  <c r="O12" i="5"/>
  <c r="O13" i="5" s="1"/>
  <c r="M3" i="7"/>
  <c r="O3" i="7" s="1"/>
  <c r="I24" i="7"/>
  <c r="H39" i="5"/>
  <c r="H40" i="5" s="1"/>
  <c r="H41" i="5" s="1"/>
  <c r="P13" i="5"/>
  <c r="O29" i="5"/>
  <c r="O45" i="5"/>
  <c r="O47" i="5"/>
  <c r="O34" i="5"/>
  <c r="O43" i="5"/>
  <c r="O46" i="5"/>
  <c r="O38" i="5"/>
  <c r="O36" i="5"/>
  <c r="O40" i="5"/>
  <c r="O44" i="5"/>
  <c r="O41" i="5"/>
  <c r="O30" i="5"/>
  <c r="O28" i="5"/>
  <c r="O33" i="5"/>
  <c r="O32" i="5"/>
  <c r="O37" i="5"/>
  <c r="O31" i="5"/>
  <c r="O42" i="5"/>
  <c r="O39" i="5"/>
  <c r="O35" i="5"/>
  <c r="P14" i="5"/>
  <c r="P15" i="5"/>
  <c r="I26" i="7"/>
  <c r="C61" i="3" l="1"/>
  <c r="C53" i="3"/>
  <c r="C45" i="3"/>
  <c r="C37" i="3"/>
  <c r="C29" i="3"/>
  <c r="C21" i="3"/>
  <c r="C14" i="3"/>
  <c r="C8" i="3"/>
  <c r="E5" i="3" s="1"/>
  <c r="C60" i="3"/>
  <c r="C52" i="3"/>
  <c r="C44" i="3"/>
  <c r="C36" i="3"/>
  <c r="C28" i="3"/>
  <c r="C20" i="3"/>
  <c r="C7" i="3"/>
  <c r="N9" i="2"/>
  <c r="C51" i="3"/>
  <c r="C43" i="3"/>
  <c r="C35" i="3"/>
  <c r="C27" i="3"/>
  <c r="C19" i="3"/>
  <c r="C13" i="3"/>
  <c r="C6" i="3"/>
  <c r="C64" i="3"/>
  <c r="C48" i="3"/>
  <c r="C32" i="3"/>
  <c r="G19" i="2"/>
  <c r="N14" i="2" s="1"/>
  <c r="N12" i="2" s="1"/>
  <c r="C55" i="3"/>
  <c r="C47" i="3"/>
  <c r="C31" i="3"/>
  <c r="C59" i="3"/>
  <c r="C58" i="3"/>
  <c r="C50" i="3"/>
  <c r="C42" i="3"/>
  <c r="C34" i="3"/>
  <c r="C26" i="3"/>
  <c r="C18" i="3"/>
  <c r="C12" i="3"/>
  <c r="C56" i="3"/>
  <c r="C40" i="3"/>
  <c r="C24" i="3"/>
  <c r="C16" i="3"/>
  <c r="C11" i="3"/>
  <c r="C63" i="3"/>
  <c r="C39" i="3"/>
  <c r="C23" i="3"/>
  <c r="C15" i="3"/>
  <c r="C10" i="3"/>
  <c r="C65" i="3"/>
  <c r="C57" i="3"/>
  <c r="C49" i="3"/>
  <c r="C41" i="3"/>
  <c r="C33" i="3"/>
  <c r="C25" i="3"/>
  <c r="C17" i="3"/>
  <c r="C62" i="3"/>
  <c r="C54" i="3"/>
  <c r="C46" i="3"/>
  <c r="C38" i="3"/>
  <c r="C30" i="3"/>
  <c r="C22" i="3"/>
  <c r="C9" i="3"/>
  <c r="N13" i="5"/>
  <c r="N14" i="5"/>
  <c r="O15" i="5"/>
  <c r="O14" i="5"/>
  <c r="I25" i="7"/>
  <c r="B48" i="5"/>
  <c r="B49" i="5"/>
  <c r="O48" i="5"/>
  <c r="P28" i="5"/>
  <c r="Q48" i="5" s="1"/>
  <c r="G41" i="5" s="1"/>
  <c r="O24" i="7"/>
  <c r="O25" i="7" s="1"/>
  <c r="P48" i="5"/>
  <c r="F5" i="3" l="1"/>
  <c r="N20" i="2" s="1"/>
  <c r="N22" i="2" s="1"/>
  <c r="J11" i="3"/>
  <c r="P49" i="5"/>
  <c r="H42" i="5" s="1"/>
  <c r="O49" i="5"/>
  <c r="G42" i="5" s="1"/>
  <c r="G39" i="5"/>
  <c r="J13" i="3" l="1"/>
  <c r="J14" i="3"/>
</calcChain>
</file>

<file path=xl/connections.xml><?xml version="1.0" encoding="utf-8"?>
<connections xmlns="http://schemas.openxmlformats.org/spreadsheetml/2006/main">
  <connection id="1" name="Połączenie2" type="4" refreshedVersion="5" refreshOnLoad="1" saveData="1">
    <webPr sourceData="1" parsePre="1" consecutive="1" xl2000="1" url="https://wibor.money.pl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<sst xmlns="http://schemas.openxmlformats.org/spreadsheetml/2006/main" count="257" uniqueCount="204">
  <si>
    <t>Okres finansowania (miesiące)</t>
  </si>
  <si>
    <t>Wykup (RV)</t>
  </si>
  <si>
    <t>Prowizja</t>
  </si>
  <si>
    <t>procenty</t>
  </si>
  <si>
    <t>kowta</t>
  </si>
  <si>
    <t>WIBOR</t>
  </si>
  <si>
    <t>Oprocentowanie miesięczne</t>
  </si>
  <si>
    <t>Rata finansowania</t>
  </si>
  <si>
    <t>Wskaźnik % raty</t>
  </si>
  <si>
    <t>Suma opłat leasingowych</t>
  </si>
  <si>
    <t>Wartość przedmiotu leasingu (kwota netto)</t>
  </si>
  <si>
    <t>Wartość opłaty wstępnej (OW)</t>
  </si>
  <si>
    <t>KALKULATOR DO PRAWDIŁOWEGO WYLICZENIA SUMY OPŁAT LEASINGOWYCH</t>
  </si>
  <si>
    <t>Wypełnij tylko szare pola</t>
  </si>
  <si>
    <t>Dane dodatkowe:</t>
  </si>
  <si>
    <t>Wartośc leasingu (kwota finansowana)</t>
  </si>
  <si>
    <t>Roczna wartość oprocentowania (wibor+marża)</t>
  </si>
  <si>
    <t>Suma zapłaconych rat</t>
  </si>
  <si>
    <t>Łączny koszt leasingu</t>
  </si>
  <si>
    <t>Płatność</t>
  </si>
  <si>
    <t>Kwota</t>
  </si>
  <si>
    <t>IRR</t>
  </si>
  <si>
    <t>IRR - Rok</t>
  </si>
  <si>
    <t>Wartość środka trwałego minus opłata wstępna</t>
  </si>
  <si>
    <t>Rata nr 1</t>
  </si>
  <si>
    <t>Rata nr 2</t>
  </si>
  <si>
    <t>Rata nr 3</t>
  </si>
  <si>
    <t>Rata nr 4</t>
  </si>
  <si>
    <t>Rata nr 5</t>
  </si>
  <si>
    <t>Rata nr 6</t>
  </si>
  <si>
    <t>Rata nr 7</t>
  </si>
  <si>
    <t>Rata nr 8</t>
  </si>
  <si>
    <t>Rata nr 9</t>
  </si>
  <si>
    <t>Rata nr 10</t>
  </si>
  <si>
    <t>Rata nr 11</t>
  </si>
  <si>
    <t>Rata nr 12</t>
  </si>
  <si>
    <t>Rata nr 13</t>
  </si>
  <si>
    <t>Rata nr 14</t>
  </si>
  <si>
    <t>Rata nr 15</t>
  </si>
  <si>
    <t>Rata nr 16</t>
  </si>
  <si>
    <t>Rata nr 17</t>
  </si>
  <si>
    <t>Rata nr 18</t>
  </si>
  <si>
    <t>Rata nr 19</t>
  </si>
  <si>
    <t>Rata nr 20</t>
  </si>
  <si>
    <t>Rata nr 21</t>
  </si>
  <si>
    <t>Rata nr 22</t>
  </si>
  <si>
    <t>Rata nr 23</t>
  </si>
  <si>
    <t>Rata nr 24</t>
  </si>
  <si>
    <t>Rata nr 25</t>
  </si>
  <si>
    <t>Rata nr 26</t>
  </si>
  <si>
    <t>Rata nr 27</t>
  </si>
  <si>
    <t>Rata nr 28</t>
  </si>
  <si>
    <t>Rata nr 29</t>
  </si>
  <si>
    <t>Rata nr 30</t>
  </si>
  <si>
    <t>Rata nr 31</t>
  </si>
  <si>
    <t>Rata nr 32</t>
  </si>
  <si>
    <t>Rata nr 33</t>
  </si>
  <si>
    <t>Rata nr 34</t>
  </si>
  <si>
    <t>Rata nr 35</t>
  </si>
  <si>
    <t>Rata nr 36</t>
  </si>
  <si>
    <t>Rata nr 37</t>
  </si>
  <si>
    <t>Rata nr 38</t>
  </si>
  <si>
    <t>Rata nr 39</t>
  </si>
  <si>
    <t>Rata nr 40</t>
  </si>
  <si>
    <t>Rata nr 41</t>
  </si>
  <si>
    <t>Rata nr 42</t>
  </si>
  <si>
    <t>Rata nr 43</t>
  </si>
  <si>
    <t>Rata nr 44</t>
  </si>
  <si>
    <t>Rata nr 45</t>
  </si>
  <si>
    <t>Rata nr 46</t>
  </si>
  <si>
    <t>Rata nr 47</t>
  </si>
  <si>
    <t>Rata nr 48</t>
  </si>
  <si>
    <t>Rata nr 49</t>
  </si>
  <si>
    <t>Rata nr 50</t>
  </si>
  <si>
    <t>Rata nr 51</t>
  </si>
  <si>
    <t>Rata nr 52</t>
  </si>
  <si>
    <t>Rata nr 53</t>
  </si>
  <si>
    <t>Rata nr 54</t>
  </si>
  <si>
    <t>Rata nr 55</t>
  </si>
  <si>
    <t>Rata nr 56</t>
  </si>
  <si>
    <t>Rata nr 57</t>
  </si>
  <si>
    <t>Rata nr 58</t>
  </si>
  <si>
    <t>Rata nr 59</t>
  </si>
  <si>
    <t>Rata nr 60</t>
  </si>
  <si>
    <t>Rata nr 61</t>
  </si>
  <si>
    <t>Rata nr 62</t>
  </si>
  <si>
    <t>Rata nr 63</t>
  </si>
  <si>
    <t>Rata nr 64</t>
  </si>
  <si>
    <t>Rata nr 65</t>
  </si>
  <si>
    <t>Rata nr 66</t>
  </si>
  <si>
    <t>Rata nr 67</t>
  </si>
  <si>
    <t>Rata nr 68</t>
  </si>
  <si>
    <t>Rata nr 69</t>
  </si>
  <si>
    <t>Rata nr 70</t>
  </si>
  <si>
    <t>Rata nr 71</t>
  </si>
  <si>
    <t>Rata nr 72</t>
  </si>
  <si>
    <t>Rata nr 73</t>
  </si>
  <si>
    <t>Rata nr 74</t>
  </si>
  <si>
    <t>Rata nr 75</t>
  </si>
  <si>
    <t>Rata nr 76</t>
  </si>
  <si>
    <t>Rata nr 77</t>
  </si>
  <si>
    <t>Rata nr 78</t>
  </si>
  <si>
    <t>Rata nr 79</t>
  </si>
  <si>
    <t>Rata nr 80</t>
  </si>
  <si>
    <t>Rata nr 81</t>
  </si>
  <si>
    <t>Rata nr 82</t>
  </si>
  <si>
    <t>Rata nr 83</t>
  </si>
  <si>
    <t>Rata nr 84</t>
  </si>
  <si>
    <t>1M</t>
  </si>
  <si>
    <t>3M</t>
  </si>
  <si>
    <t>Oprocentowanie leasingu (marża + wibor wynosi)</t>
  </si>
  <si>
    <t>Marża leasingodawcy</t>
  </si>
  <si>
    <t>WIBOR 1M</t>
  </si>
  <si>
    <t>WIBOR 3M</t>
  </si>
  <si>
    <t>Wartośc WIBOR przyjęta do symulacji</t>
  </si>
  <si>
    <t>Dane dotyczące marży i oprocentowania</t>
  </si>
  <si>
    <t>Łączne oprocentowanie roczne  leasingu</t>
  </si>
  <si>
    <t>Zastosowana marża do finansowania</t>
  </si>
  <si>
    <t>kwoty netto</t>
  </si>
  <si>
    <t>Wibor</t>
  </si>
  <si>
    <t>WIBOR ON</t>
  </si>
  <si>
    <t>WIBOR TN</t>
  </si>
  <si>
    <t>WIBOR 6M</t>
  </si>
  <si>
    <t>Termin</t>
  </si>
  <si>
    <t>Zmiana [%]</t>
  </si>
  <si>
    <t>Zmiana 3m</t>
  </si>
  <si>
    <t>[%]</t>
  </si>
  <si>
    <t>Zmiana 12m</t>
  </si>
  <si>
    <t>Data wyceny</t>
  </si>
  <si>
    <t>WIBOR 1W</t>
  </si>
  <si>
    <t>WIBOR 2W</t>
  </si>
  <si>
    <t>WIBOR 1Y</t>
  </si>
  <si>
    <t xml:space="preserve">Aktualne wartości WIBOR </t>
  </si>
  <si>
    <t>JAKI WIBOR</t>
  </si>
  <si>
    <t>było</t>
  </si>
  <si>
    <t>będzie</t>
  </si>
  <si>
    <t>nowe proc</t>
  </si>
  <si>
    <t>Może być</t>
  </si>
  <si>
    <t>Wpisz wartość WIBOR (w %)</t>
  </si>
  <si>
    <t>może</t>
  </si>
  <si>
    <t>Wartość WIBOR z umowy (w %)</t>
  </si>
  <si>
    <t>Wartość marży zastosowanej do umowy (w %)</t>
  </si>
  <si>
    <t>teraz jest</t>
  </si>
  <si>
    <t>WYSOKOŚĆ RAT LEASINGOWYCH W ZALEŻNOŚCI OD STÓP</t>
  </si>
  <si>
    <t>Rata finansowania (kwoty netto)</t>
  </si>
  <si>
    <t>OFERTA - ZMIENNA STOPA %</t>
  </si>
  <si>
    <t>OFERTA - STAŁA STOPA %</t>
  </si>
  <si>
    <t>wpisz wartość</t>
  </si>
  <si>
    <t>zmienna start</t>
  </si>
  <si>
    <t>zmienna nowa</t>
  </si>
  <si>
    <t>stała</t>
  </si>
  <si>
    <t>start</t>
  </si>
  <si>
    <t>przyszła</t>
  </si>
  <si>
    <t>częstotliwość</t>
  </si>
  <si>
    <t>kwartał</t>
  </si>
  <si>
    <t>rok</t>
  </si>
  <si>
    <t>6 miesięcy</t>
  </si>
  <si>
    <t>rozpiska ile slotów</t>
  </si>
  <si>
    <t>okres fin</t>
  </si>
  <si>
    <t>Wartość przedmiotu</t>
  </si>
  <si>
    <t xml:space="preserve">Liczba rat </t>
  </si>
  <si>
    <t>Wszelkie opłaty wstępne</t>
  </si>
  <si>
    <t>Wartość końcowa (Wykup)</t>
  </si>
  <si>
    <t>marża</t>
  </si>
  <si>
    <t>Oprocentowanie roczne</t>
  </si>
  <si>
    <t>prowizja %</t>
  </si>
  <si>
    <t>Zadłużenie</t>
  </si>
  <si>
    <t>Wysokość raty miesięcznej</t>
  </si>
  <si>
    <t>Raty razem</t>
  </si>
  <si>
    <t>Całkowity koszt Leasingu</t>
  </si>
  <si>
    <t>Wskaźnik raty</t>
  </si>
  <si>
    <t>podaj wib</t>
  </si>
  <si>
    <t>suma</t>
  </si>
  <si>
    <t>średnia rata</t>
  </si>
  <si>
    <t>rata stała</t>
  </si>
  <si>
    <t>rata zmienna</t>
  </si>
  <si>
    <t>okres</t>
  </si>
  <si>
    <t>czas</t>
  </si>
  <si>
    <t>suma rat okres</t>
  </si>
  <si>
    <t>Łączne oprocentowanie leasingu</t>
  </si>
  <si>
    <t>Wpisz wartość stałej stopy % (łącznie z marżą)</t>
  </si>
  <si>
    <t>Stawki WIBOR (w %)</t>
  </si>
  <si>
    <t>KALKULATOR LEASING ZE ZMIENNĄ CZY STAŁĄ STOPĄ PROCENTOWĄ?</t>
  </si>
  <si>
    <t>Jaki WIBOR zastosował leasingodawca</t>
  </si>
  <si>
    <t>Aktualne wartości stawek WIBOR (według Money.pl)</t>
  </si>
  <si>
    <t>Przescroluj niżej celem opracowania scenariuszy wzrostu raty</t>
  </si>
  <si>
    <t>KKK</t>
  </si>
  <si>
    <t>Określ częstotliwość zmian wysokości oprocentowania</t>
  </si>
  <si>
    <t>Okres trwania Twojej umowy leasingu</t>
  </si>
  <si>
    <t>Liczba zmian oprocentowania w umowie</t>
  </si>
  <si>
    <t xml:space="preserve">Stwórz swój scenariusz zmian oprocentowania leasingu </t>
  </si>
  <si>
    <t>pomoc %</t>
  </si>
  <si>
    <t>suma rat</t>
  </si>
  <si>
    <t>Porównanie scenriusza zmiennego ze stałym</t>
  </si>
  <si>
    <t>Średnia rata</t>
  </si>
  <si>
    <t>Suma zapłaconych rat (bez OW i RV)</t>
  </si>
  <si>
    <t>Łaczny koszt leasingu</t>
  </si>
  <si>
    <t>zmienna</t>
  </si>
  <si>
    <t>Graficzne porównanie scenriusza zmiennego ze stałym (wykresy)</t>
  </si>
  <si>
    <t>Przescroluj niżej i zobacz wizualizacje graficzne przyjętego scenariusza</t>
  </si>
  <si>
    <t>Twój scenariusz</t>
  </si>
  <si>
    <t>aktualna</t>
  </si>
  <si>
    <t>podaj WIBOR</t>
  </si>
  <si>
    <t>© Copyright 2023 | Leasing bez tajemnic | Wszelkie prawa zastrzeżone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</si>
</sst>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0.0000%"/>
    <numFmt numFmtId="166" formatCode="0.00000%"/>
    <numFmt numFmtId="167" formatCode="#,##0.00000\ &quot;zł&quot;"/>
    <numFmt numFmtId="168" formatCode="_-* #,##0.00\ [$zł-415]_-;\-* #,##0.00\ [$zł-415]_-;_-* &quot;-&quot;??\ [$zł-415]_-;_-@_-"/>
    <numFmt numFmtId="169" formatCode="0.0%"/>
    <numFmt numFmtId="170" formatCode="0.00000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3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3"/>
      <color rgb="FFC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10" fontId="0" fillId="0" borderId="0" xfId="0" applyNumberFormat="1"/>
    <xf numFmtId="0" fontId="0" fillId="2" borderId="0" xfId="0" applyFill="1"/>
    <xf numFmtId="164" fontId="0" fillId="2" borderId="0" xfId="0" applyNumberFormat="1" applyFill="1"/>
    <xf numFmtId="167" fontId="0" fillId="2" borderId="0" xfId="0" applyNumberFormat="1" applyFill="1"/>
    <xf numFmtId="0" fontId="0" fillId="2" borderId="1" xfId="0" applyFill="1" applyBorder="1"/>
    <xf numFmtId="164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164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2" fillId="2" borderId="1" xfId="0" applyFont="1" applyFill="1" applyBorder="1"/>
    <xf numFmtId="10" fontId="2" fillId="2" borderId="1" xfId="0" applyNumberFormat="1" applyFont="1" applyFill="1" applyBorder="1"/>
    <xf numFmtId="164" fontId="2" fillId="2" borderId="1" xfId="0" applyNumberFormat="1" applyFont="1" applyFill="1" applyBorder="1"/>
    <xf numFmtId="168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64" fontId="7" fillId="4" borderId="5" xfId="1" applyNumberFormat="1" applyFont="1" applyFill="1" applyBorder="1" applyAlignment="1" applyProtection="1">
      <alignment horizontal="center" vertical="center"/>
    </xf>
    <xf numFmtId="169" fontId="7" fillId="4" borderId="5" xfId="1" applyNumberFormat="1" applyFont="1" applyFill="1" applyBorder="1" applyAlignment="1" applyProtection="1">
      <alignment horizontal="center" vertical="center"/>
    </xf>
    <xf numFmtId="10" fontId="7" fillId="4" borderId="5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 applyProtection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164" fontId="7" fillId="4" borderId="0" xfId="1" applyNumberFormat="1" applyFont="1" applyFill="1" applyAlignment="1" applyProtection="1">
      <alignment horizontal="center" vertical="center"/>
    </xf>
    <xf numFmtId="10" fontId="0" fillId="2" borderId="1" xfId="0" applyNumberFormat="1" applyFill="1" applyBorder="1"/>
    <xf numFmtId="14" fontId="0" fillId="0" borderId="0" xfId="0" applyNumberFormat="1"/>
    <xf numFmtId="0" fontId="3" fillId="2" borderId="0" xfId="0" applyFont="1" applyFill="1" applyProtection="1">
      <protection hidden="1"/>
    </xf>
    <xf numFmtId="165" fontId="0" fillId="2" borderId="0" xfId="0" applyNumberFormat="1" applyFill="1" applyProtection="1">
      <protection hidden="1"/>
    </xf>
    <xf numFmtId="164" fontId="2" fillId="2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10" fontId="3" fillId="2" borderId="1" xfId="0" applyNumberFormat="1" applyFont="1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 applyProtection="1">
      <alignment horizontal="center"/>
      <protection hidden="1"/>
    </xf>
    <xf numFmtId="164" fontId="0" fillId="2" borderId="0" xfId="0" applyNumberFormat="1" applyFill="1" applyAlignment="1" applyProtection="1">
      <alignment horizontal="center"/>
      <protection hidden="1"/>
    </xf>
    <xf numFmtId="10" fontId="0" fillId="2" borderId="0" xfId="0" applyNumberForma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164" fontId="9" fillId="2" borderId="0" xfId="0" applyNumberFormat="1" applyFont="1" applyFill="1" applyProtection="1">
      <protection hidden="1"/>
    </xf>
    <xf numFmtId="166" fontId="9" fillId="2" borderId="0" xfId="0" applyNumberFormat="1" applyFont="1" applyFill="1" applyProtection="1">
      <protection hidden="1"/>
    </xf>
    <xf numFmtId="2" fontId="0" fillId="2" borderId="0" xfId="0" applyNumberFormat="1" applyFill="1" applyProtection="1">
      <protection hidden="1"/>
    </xf>
    <xf numFmtId="2" fontId="0" fillId="5" borderId="0" xfId="0" applyNumberFormat="1" applyFill="1"/>
    <xf numFmtId="0" fontId="0" fillId="5" borderId="0" xfId="0" applyFill="1"/>
    <xf numFmtId="9" fontId="0" fillId="5" borderId="0" xfId="1" applyFont="1" applyFill="1"/>
    <xf numFmtId="2" fontId="0" fillId="3" borderId="0" xfId="0" applyNumberFormat="1" applyFill="1"/>
    <xf numFmtId="10" fontId="0" fillId="5" borderId="0" xfId="1" applyNumberFormat="1" applyFont="1" applyFill="1"/>
    <xf numFmtId="10" fontId="0" fillId="3" borderId="0" xfId="0" applyNumberFormat="1" applyFill="1"/>
    <xf numFmtId="166" fontId="0" fillId="3" borderId="0" xfId="1" applyNumberFormat="1" applyFont="1" applyFill="1"/>
    <xf numFmtId="2" fontId="11" fillId="3" borderId="0" xfId="0" applyNumberFormat="1" applyFont="1" applyFill="1"/>
    <xf numFmtId="165" fontId="0" fillId="3" borderId="0" xfId="1" applyNumberFormat="1" applyFont="1" applyFill="1"/>
    <xf numFmtId="164" fontId="0" fillId="0" borderId="0" xfId="0" applyNumberFormat="1"/>
    <xf numFmtId="166" fontId="0" fillId="0" borderId="0" xfId="0" applyNumberFormat="1"/>
    <xf numFmtId="10" fontId="0" fillId="2" borderId="0" xfId="0" applyNumberFormat="1" applyFill="1" applyProtection="1">
      <protection hidden="1"/>
    </xf>
    <xf numFmtId="10" fontId="0" fillId="2" borderId="1" xfId="0" applyNumberFormat="1" applyFill="1" applyBorder="1" applyAlignment="1" applyProtection="1">
      <alignment horizontal="center"/>
      <protection hidden="1"/>
    </xf>
    <xf numFmtId="2" fontId="0" fillId="2" borderId="0" xfId="0" applyNumberFormat="1" applyFill="1" applyAlignment="1" applyProtection="1">
      <alignment horizontal="center"/>
      <protection hidden="1"/>
    </xf>
    <xf numFmtId="165" fontId="0" fillId="2" borderId="1" xfId="0" applyNumberFormat="1" applyFill="1" applyBorder="1" applyAlignment="1" applyProtection="1">
      <alignment horizontal="center"/>
      <protection hidden="1"/>
    </xf>
    <xf numFmtId="2" fontId="2" fillId="2" borderId="1" xfId="0" applyNumberFormat="1" applyFont="1" applyFill="1" applyBorder="1" applyAlignment="1" applyProtection="1">
      <alignment horizontal="center"/>
      <protection hidden="1"/>
    </xf>
    <xf numFmtId="10" fontId="3" fillId="2" borderId="0" xfId="0" applyNumberFormat="1" applyFont="1" applyFill="1" applyProtection="1">
      <protection hidden="1"/>
    </xf>
    <xf numFmtId="164" fontId="14" fillId="2" borderId="0" xfId="0" applyNumberFormat="1" applyFont="1" applyFill="1" applyProtection="1">
      <protection hidden="1"/>
    </xf>
    <xf numFmtId="170" fontId="3" fillId="2" borderId="0" xfId="0" applyNumberFormat="1" applyFont="1" applyFill="1" applyProtection="1">
      <protection hidden="1"/>
    </xf>
    <xf numFmtId="0" fontId="14" fillId="2" borderId="0" xfId="0" applyFont="1" applyFill="1" applyProtection="1"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10" fontId="15" fillId="2" borderId="0" xfId="0" applyNumberFormat="1" applyFont="1" applyFill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center"/>
      <protection hidden="1"/>
    </xf>
    <xf numFmtId="164" fontId="15" fillId="2" borderId="0" xfId="0" applyNumberFormat="1" applyFont="1" applyFill="1" applyAlignment="1" applyProtection="1">
      <alignment horizontal="center"/>
      <protection hidden="1"/>
    </xf>
    <xf numFmtId="164" fontId="15" fillId="2" borderId="0" xfId="0" applyNumberFormat="1" applyFont="1" applyFill="1" applyProtection="1">
      <protection hidden="1"/>
    </xf>
    <xf numFmtId="166" fontId="15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3" fillId="2" borderId="0" xfId="0" applyNumberFormat="1" applyFont="1" applyFill="1" applyProtection="1">
      <protection hidden="1"/>
    </xf>
    <xf numFmtId="166" fontId="3" fillId="2" borderId="0" xfId="0" applyNumberFormat="1" applyFont="1" applyFill="1" applyProtection="1">
      <protection hidden="1"/>
    </xf>
    <xf numFmtId="10" fontId="2" fillId="2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2" fillId="2" borderId="1" xfId="0" applyFont="1" applyFill="1" applyBorder="1" applyProtection="1">
      <protection hidden="1"/>
    </xf>
    <xf numFmtId="0" fontId="0" fillId="2" borderId="1" xfId="0" applyFill="1" applyBorder="1"/>
    <xf numFmtId="0" fontId="0" fillId="0" borderId="1" xfId="0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5" fillId="2" borderId="0" xfId="0" applyFont="1" applyFill="1"/>
    <xf numFmtId="0" fontId="5" fillId="0" borderId="0" xfId="0" applyFont="1"/>
    <xf numFmtId="0" fontId="16" fillId="2" borderId="0" xfId="0" applyFont="1" applyFill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2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0" fillId="2" borderId="2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10" fontId="3" fillId="2" borderId="11" xfId="0" applyNumberFormat="1" applyFont="1" applyFill="1" applyBorder="1" applyAlignment="1" applyProtection="1">
      <alignment horizontal="center"/>
      <protection hidden="1"/>
    </xf>
    <xf numFmtId="10" fontId="3" fillId="0" borderId="8" xfId="0" applyNumberFormat="1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2" borderId="8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2" borderId="0" xfId="0" applyFill="1" applyProtection="1">
      <protection locked="0" hidden="1"/>
    </xf>
    <xf numFmtId="164" fontId="0" fillId="3" borderId="1" xfId="0" applyNumberFormat="1" applyFill="1" applyBorder="1" applyAlignment="1" applyProtection="1">
      <alignment horizontal="center"/>
      <protection locked="0" hidden="1"/>
    </xf>
    <xf numFmtId="10" fontId="0" fillId="3" borderId="1" xfId="0" applyNumberFormat="1" applyFill="1" applyBorder="1" applyAlignment="1" applyProtection="1">
      <alignment horizontal="center"/>
      <protection locked="0" hidden="1"/>
    </xf>
    <xf numFmtId="2" fontId="0" fillId="3" borderId="7" xfId="0" applyNumberFormat="1" applyFill="1" applyBorder="1" applyAlignment="1" applyProtection="1">
      <alignment horizontal="center"/>
      <protection locked="0" hidden="1"/>
    </xf>
    <xf numFmtId="2" fontId="0" fillId="3" borderId="1" xfId="0" applyNumberFormat="1" applyFill="1" applyBorder="1" applyAlignment="1" applyProtection="1">
      <alignment horizontal="center"/>
      <protection locked="0" hidden="1"/>
    </xf>
    <xf numFmtId="10" fontId="0" fillId="3" borderId="6" xfId="0" applyNumberForma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center"/>
      <protection locked="0" hidden="1"/>
    </xf>
    <xf numFmtId="10" fontId="15" fillId="2" borderId="0" xfId="0" applyNumberFormat="1" applyFont="1" applyFill="1" applyAlignment="1" applyProtection="1">
      <alignment horizontal="center"/>
      <protection locked="0" hidden="1"/>
    </xf>
    <xf numFmtId="10" fontId="0" fillId="2" borderId="0" xfId="0" applyNumberFormat="1" applyFill="1" applyAlignment="1" applyProtection="1">
      <alignment horizontal="center"/>
      <protection locked="0" hidden="1"/>
    </xf>
  </cellXfs>
  <cellStyles count="2">
    <cellStyle name="Normalny" xfId="0" builtinId="0"/>
    <cellStyle name="Procentowy" xfId="1" builtinId="5"/>
  </cellStyles>
  <dxfs count="7">
    <dxf>
      <fill>
        <patternFill>
          <bgColor rgb="FFFFFF00"/>
        </patternFill>
      </fill>
    </dxf>
    <dxf>
      <font>
        <color theme="0"/>
      </font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strike val="0"/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Średnia rata leasingu opratego o stałą i zmienną stopę procentową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9B-4527-9664-6735D7658927}"/>
              </c:ext>
            </c:extLst>
          </c:dPt>
          <c:cat>
            <c:strRef>
              <c:f>kalkulator!$G$38:$H$38</c:f>
              <c:strCache>
                <c:ptCount val="2"/>
                <c:pt idx="0">
                  <c:v>zmienna</c:v>
                </c:pt>
                <c:pt idx="1">
                  <c:v>stała</c:v>
                </c:pt>
              </c:strCache>
            </c:strRef>
          </c:cat>
          <c:val>
            <c:numRef>
              <c:f>kalkulator!$G$39:$H$39</c:f>
              <c:numCache>
                <c:formatCode>#\ ##0.00\ "zł"</c:formatCode>
                <c:ptCount val="2"/>
                <c:pt idx="0">
                  <c:v>814.00969672095835</c:v>
                </c:pt>
                <c:pt idx="1">
                  <c:v>821.21460828064573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9B-4527-9664-6735D7658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8123592"/>
        <c:axId val="348254528"/>
      </c:barChart>
      <c:catAx>
        <c:axId val="34812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4528"/>
        <c:crosses val="autoZero"/>
        <c:auto val="1"/>
        <c:lblAlgn val="ctr"/>
        <c:lblOffset val="100"/>
        <c:noMultiLvlLbl val="0"/>
      </c:catAx>
      <c:valAx>
        <c:axId val="3482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zł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12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Rata</a:t>
            </a:r>
            <a:r>
              <a:rPr lang="pl-PL" baseline="0"/>
              <a:t> leasingu ze zmienną stopłą procentową vs rata leasingu ze stałym oprocentowaniem leasingu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Rata zmienna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kalkulator!$L$28:$L$47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[0]!zmienna1</c:f>
              <c:numCache>
                <c:formatCode>#\ ##0.00\ "zł"</c:formatCode>
                <c:ptCount val="20"/>
                <c:pt idx="0">
                  <c:v>786.96315353795524</c:v>
                </c:pt>
                <c:pt idx="1">
                  <c:v>796.03681159398457</c:v>
                </c:pt>
                <c:pt idx="2">
                  <c:v>802.87075445436471</c:v>
                </c:pt>
                <c:pt idx="3">
                  <c:v>809.72926208248236</c:v>
                </c:pt>
                <c:pt idx="4">
                  <c:v>809.72926208248236</c:v>
                </c:pt>
                <c:pt idx="5">
                  <c:v>809.72926208248236</c:v>
                </c:pt>
                <c:pt idx="6">
                  <c:v>821.21460828064573</c:v>
                </c:pt>
                <c:pt idx="7">
                  <c:v>821.21460828064573</c:v>
                </c:pt>
                <c:pt idx="8">
                  <c:v>832.76794382494506</c:v>
                </c:pt>
                <c:pt idx="9">
                  <c:v>832.76794382494506</c:v>
                </c:pt>
                <c:pt idx="10">
                  <c:v>844.38910486988607</c:v>
                </c:pt>
                <c:pt idx="11">
                  <c:v>856.07791974871441</c:v>
                </c:pt>
                <c:pt idx="12">
                  <c:v>832.76794382494506</c:v>
                </c:pt>
                <c:pt idx="13">
                  <c:v>809.72926208248236</c:v>
                </c:pt>
                <c:pt idx="14">
                  <c:v>786.96315353795524</c:v>
                </c:pt>
                <c:pt idx="15">
                  <c:v>764.47076966067937</c:v>
                </c:pt>
                <c:pt idx="16">
                  <c:v>786.96315353795524</c:v>
                </c:pt>
                <c:pt idx="17">
                  <c:v>786.96315353795524</c:v>
                </c:pt>
                <c:pt idx="18">
                  <c:v>832.76794382494506</c:v>
                </c:pt>
                <c:pt idx="19">
                  <c:v>856.07791974871441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18-44B6-B9F1-5AEDF294D041}"/>
            </c:ext>
          </c:extLst>
        </c:ser>
        <c:ser>
          <c:idx val="1"/>
          <c:order val="1"/>
          <c:tx>
            <c:v>Rata stała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kalkulator!$L$28:$L$47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[0]!stala1</c:f>
              <c:numCache>
                <c:formatCode>#\ ##0.00\ "zł"</c:formatCode>
                <c:ptCount val="20"/>
                <c:pt idx="0">
                  <c:v>821.21460828064573</c:v>
                </c:pt>
                <c:pt idx="1">
                  <c:v>821.21460828064573</c:v>
                </c:pt>
                <c:pt idx="2">
                  <c:v>821.21460828064573</c:v>
                </c:pt>
                <c:pt idx="3">
                  <c:v>821.21460828064573</c:v>
                </c:pt>
                <c:pt idx="4">
                  <c:v>821.21460828064573</c:v>
                </c:pt>
                <c:pt idx="5">
                  <c:v>821.21460828064573</c:v>
                </c:pt>
                <c:pt idx="6">
                  <c:v>821.21460828064573</c:v>
                </c:pt>
                <c:pt idx="7">
                  <c:v>821.21460828064573</c:v>
                </c:pt>
                <c:pt idx="8">
                  <c:v>821.21460828064573</c:v>
                </c:pt>
                <c:pt idx="9">
                  <c:v>821.21460828064573</c:v>
                </c:pt>
                <c:pt idx="10">
                  <c:v>821.21460828064573</c:v>
                </c:pt>
                <c:pt idx="11">
                  <c:v>821.21460828064573</c:v>
                </c:pt>
                <c:pt idx="12">
                  <c:v>821.21460828064573</c:v>
                </c:pt>
                <c:pt idx="13">
                  <c:v>821.21460828064573</c:v>
                </c:pt>
                <c:pt idx="14">
                  <c:v>821.21460828064573</c:v>
                </c:pt>
                <c:pt idx="15">
                  <c:v>821.21460828064573</c:v>
                </c:pt>
                <c:pt idx="16">
                  <c:v>821.21460828064573</c:v>
                </c:pt>
                <c:pt idx="17">
                  <c:v>821.21460828064573</c:v>
                </c:pt>
                <c:pt idx="18">
                  <c:v>821.21460828064573</c:v>
                </c:pt>
                <c:pt idx="19">
                  <c:v>821.21460828064573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18-44B6-B9F1-5AEDF294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5312"/>
        <c:axId val="348256880"/>
      </c:lineChart>
      <c:catAx>
        <c:axId val="34825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6880"/>
        <c:crosses val="autoZero"/>
        <c:auto val="1"/>
        <c:lblAlgn val="ctr"/>
        <c:lblOffset val="100"/>
        <c:noMultiLvlLbl val="0"/>
      </c:catAx>
      <c:valAx>
        <c:axId val="34825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zł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Zmienność raty w czasie trwania umowy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zmienna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[0]!czas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[0]!zmienna</c:f>
              <c:numCache>
                <c:formatCode>#\ ##0.00\ "zł"</c:formatCode>
                <c:ptCount val="5"/>
                <c:pt idx="0">
                  <c:v>1453.2961070599897</c:v>
                </c:pt>
                <c:pt idx="1">
                  <c:v>1171.3010408885389</c:v>
                </c:pt>
                <c:pt idx="2">
                  <c:v>1213.2289878485246</c:v>
                </c:pt>
                <c:pt idx="3">
                  <c:v>1502.7505644911303</c:v>
                </c:pt>
                <c:pt idx="4">
                  <c:v>1171.3010408885389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C2-4DB4-9CAD-260A914BB4FE}"/>
            </c:ext>
          </c:extLst>
        </c:ser>
        <c:ser>
          <c:idx val="1"/>
          <c:order val="1"/>
          <c:tx>
            <c:v>stała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[0]!czas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[0]!stala</c:f>
              <c:numCache>
                <c:formatCode>#\ ##0.00\ "zł"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C2-4DB4-9CAD-260A914B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8448"/>
        <c:axId val="348252960"/>
      </c:lineChart>
      <c:catAx>
        <c:axId val="34825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2960"/>
        <c:crosses val="autoZero"/>
        <c:auto val="1"/>
        <c:lblAlgn val="ctr"/>
        <c:lblOffset val="100"/>
        <c:noMultiLvlLbl val="0"/>
      </c:catAx>
      <c:valAx>
        <c:axId val="34825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zł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Uśredniona rata leasingu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Uśredniona rata zmienna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scenariusz!$O$25</c:f>
              <c:numCache>
                <c:formatCode>#\ ##0.00\ "zł"</c:formatCode>
                <c:ptCount val="1"/>
                <c:pt idx="0">
                  <c:v>1302.3755482353445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8-449B-B727-ED8C13FFE374}"/>
            </c:ext>
          </c:extLst>
        </c:ser>
        <c:ser>
          <c:idx val="1"/>
          <c:order val="1"/>
          <c:tx>
            <c:v>Rata stała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scenariusz!$N$2</c:f>
              <c:numCache>
                <c:formatCode>#\ ##0.00\ "zł"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8-449B-B727-ED8C13FF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8257664"/>
        <c:axId val="348259232"/>
      </c:barChart>
      <c:catAx>
        <c:axId val="348257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9232"/>
        <c:crosses val="autoZero"/>
        <c:auto val="1"/>
        <c:lblAlgn val="ctr"/>
        <c:lblOffset val="100"/>
        <c:noMultiLvlLbl val="0"/>
      </c:catAx>
      <c:valAx>
        <c:axId val="34825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zł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825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38893</xdr:colOff>
      <xdr:row>0</xdr:row>
      <xdr:rowOff>0</xdr:rowOff>
    </xdr:from>
    <xdr:to>
      <xdr:col>3</xdr:col>
      <xdr:colOff>69373</xdr:colOff>
      <xdr:row>2</xdr:row>
      <xdr:rowOff>164897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93" y="0"/>
          <a:ext cx="1249680" cy="533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38893</xdr:colOff>
      <xdr:row>0</xdr:row>
      <xdr:rowOff>0</xdr:rowOff>
    </xdr:from>
    <xdr:to>
      <xdr:col>3</xdr:col>
      <xdr:colOff>69373</xdr:colOff>
      <xdr:row>2</xdr:row>
      <xdr:rowOff>164897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93" y="0"/>
          <a:ext cx="1249680" cy="533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591343</xdr:colOff>
      <xdr:row>0</xdr:row>
      <xdr:rowOff>133350</xdr:rowOff>
    </xdr:from>
    <xdr:to>
      <xdr:col>16</xdr:col>
      <xdr:colOff>24922</xdr:colOff>
      <xdr:row>3</xdr:row>
      <xdr:rowOff>63297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4393" y="133350"/>
          <a:ext cx="1249680" cy="533197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596900</xdr:colOff>
      <xdr:row>20</xdr:row>
      <xdr:rowOff>132740</xdr:rowOff>
    </xdr:from>
    <xdr:to>
      <xdr:col>6</xdr:col>
      <xdr:colOff>368300</xdr:colOff>
      <xdr:row>22</xdr:row>
      <xdr:rowOff>145440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374589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320410</xdr:colOff>
      <xdr:row>20</xdr:row>
      <xdr:rowOff>102843</xdr:rowOff>
    </xdr:from>
    <xdr:to>
      <xdr:col>12</xdr:col>
      <xdr:colOff>701410</xdr:colOff>
      <xdr:row>22</xdr:row>
      <xdr:rowOff>115543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5" y="3926072"/>
          <a:ext cx="381000" cy="383117"/>
        </a:xfrm>
        <a:prstGeom prst="rect">
          <a:avLst/>
        </a:prstGeom>
      </xdr:spPr>
    </xdr:pic>
    <xdr:clientData/>
  </xdr:twoCellAnchor>
  <xdr:twoCellAnchor>
    <xdr:from>
      <xdr:col>10</xdr:col>
      <xdr:colOff>39026</xdr:colOff>
      <xdr:row>57</xdr:row>
      <xdr:rowOff>145521</xdr:rowOff>
    </xdr:from>
    <xdr:to>
      <xdr:col>16</xdr:col>
      <xdr:colOff>403490</xdr:colOff>
      <xdr:row>76</xdr:row>
      <xdr:rowOff>85063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422671</xdr:colOff>
      <xdr:row>57</xdr:row>
      <xdr:rowOff>178593</xdr:rowOff>
    </xdr:from>
    <xdr:to>
      <xdr:col>8</xdr:col>
      <xdr:colOff>707759</xdr:colOff>
      <xdr:row>76</xdr:row>
      <xdr:rowOff>58604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</xdr:col>
      <xdr:colOff>504296</xdr:colOff>
      <xdr:row>48</xdr:row>
      <xdr:rowOff>93052</xdr:rowOff>
    </xdr:from>
    <xdr:ext cx="379941" cy="383117"/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11" y="9102115"/>
          <a:ext cx="379941" cy="383117"/>
        </a:xfrm>
        <a:prstGeom prst="rect">
          <a:avLst/>
        </a:prstGeom>
      </xdr:spPr>
    </xdr:pic>
    <xdr:clientData/>
  </xdr:oneCellAnchor>
  <xdr:oneCellAnchor>
    <xdr:from>
      <xdr:col>12</xdr:col>
      <xdr:colOff>472547</xdr:colOff>
      <xdr:row>48</xdr:row>
      <xdr:rowOff>89612</xdr:rowOff>
    </xdr:from>
    <xdr:ext cx="381000" cy="383117"/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662" y="9098675"/>
          <a:ext cx="381000" cy="38311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625475</xdr:colOff>
      <xdr:row>27</xdr:row>
      <xdr:rowOff>31750</xdr:rowOff>
    </xdr:from>
    <xdr:to>
      <xdr:col>6</xdr:col>
      <xdr:colOff>301625</xdr:colOff>
      <xdr:row>42</xdr:row>
      <xdr:rowOff>12700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26</xdr:row>
      <xdr:rowOff>174625</xdr:rowOff>
    </xdr:from>
    <xdr:to>
      <xdr:col>15</xdr:col>
      <xdr:colOff>187325</xdr:colOff>
      <xdr:row>41</xdr:row>
      <xdr:rowOff>155575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wibor.money.pl" backgroundRefresh="0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19"/>
  <sheetViews>
    <sheetView workbookViewId="0">
      <selection activeCell="N9" sqref="N9"/>
    </sheetView>
  </sheetViews>
  <sheetFormatPr defaultRowHeight="14.5" x14ac:dyDescent="0.35"/>
  <cols>
    <col min="1" max="1" width="6.1796875" style="2" customWidth="1"/>
    <col min="2" max="6" width="8.7265625" style="2"/>
    <col min="7" max="7" width="11.453125" style="2" bestFit="1" customWidth="1"/>
    <col min="8" max="8" width="11.7265625" style="2" bestFit="1" customWidth="1"/>
    <col min="9" max="9" width="12.453125" style="2" bestFit="1" customWidth="1"/>
    <col min="10" max="12" width="8.7265625" style="2"/>
    <col min="13" max="13" width="11.36328125" style="2" customWidth="1"/>
    <col min="14" max="14" width="11.453125" style="2" bestFit="1" customWidth="1"/>
    <col min="15" max="16384" width="8.7265625" style="2"/>
  </cols>
  <sheetData>
    <row r="5" spans="2:14" ht="18.5" x14ac:dyDescent="0.45">
      <c r="B5" s="12" t="s">
        <v>12</v>
      </c>
    </row>
    <row r="7" spans="2:14" x14ac:dyDescent="0.35">
      <c r="B7" s="98" t="s">
        <v>13</v>
      </c>
      <c r="C7" s="99"/>
      <c r="D7" s="99"/>
      <c r="E7" s="99"/>
      <c r="F7" s="99"/>
    </row>
    <row r="8" spans="2:14" x14ac:dyDescent="0.35">
      <c r="G8" s="10" t="s">
        <v>3</v>
      </c>
      <c r="H8" s="10" t="s">
        <v>4</v>
      </c>
      <c r="K8" s="93" t="s">
        <v>7</v>
      </c>
      <c r="L8" s="94"/>
      <c r="M8" s="94"/>
      <c r="N8" s="13">
        <f>(((G17*G18*((1+G18)^G11))-(H12*G18)))/(((1+G18)^G11)-1)</f>
        <v>1645.9789672656932</v>
      </c>
    </row>
    <row r="9" spans="2:14" x14ac:dyDescent="0.35">
      <c r="B9" s="5" t="s">
        <v>10</v>
      </c>
      <c r="C9" s="5"/>
      <c r="D9" s="5"/>
      <c r="E9" s="5"/>
      <c r="F9" s="5"/>
      <c r="G9" s="11">
        <v>1</v>
      </c>
      <c r="H9" s="6">
        <v>100000</v>
      </c>
      <c r="K9" s="93" t="s">
        <v>8</v>
      </c>
      <c r="L9" s="94"/>
      <c r="M9" s="94"/>
      <c r="N9" s="15">
        <f>N8/H9</f>
        <v>1.6459789672656933E-2</v>
      </c>
    </row>
    <row r="10" spans="2:14" x14ac:dyDescent="0.35">
      <c r="B10" s="95" t="s">
        <v>11</v>
      </c>
      <c r="C10" s="96"/>
      <c r="D10" s="96"/>
      <c r="E10" s="96"/>
      <c r="F10" s="97"/>
      <c r="G10" s="7">
        <v>0.45</v>
      </c>
      <c r="H10" s="8">
        <f>G10*H9</f>
        <v>45000</v>
      </c>
    </row>
    <row r="11" spans="2:14" x14ac:dyDescent="0.35">
      <c r="B11" s="95" t="s">
        <v>0</v>
      </c>
      <c r="C11" s="96"/>
      <c r="D11" s="96"/>
      <c r="E11" s="96"/>
      <c r="F11" s="97"/>
      <c r="G11" s="9">
        <v>35</v>
      </c>
      <c r="H11" s="10"/>
    </row>
    <row r="12" spans="2:14" x14ac:dyDescent="0.35">
      <c r="B12" s="95" t="s">
        <v>1</v>
      </c>
      <c r="C12" s="96"/>
      <c r="D12" s="96"/>
      <c r="E12" s="96"/>
      <c r="F12" s="97"/>
      <c r="G12" s="7">
        <v>0.01</v>
      </c>
      <c r="H12" s="8">
        <f>G12*H9</f>
        <v>1000</v>
      </c>
      <c r="K12" s="16" t="s">
        <v>9</v>
      </c>
      <c r="L12" s="16"/>
      <c r="M12" s="16"/>
      <c r="N12" s="17">
        <f>N14/H9</f>
        <v>1.0360926385429927</v>
      </c>
    </row>
    <row r="13" spans="2:14" x14ac:dyDescent="0.35">
      <c r="B13" s="95" t="s">
        <v>16</v>
      </c>
      <c r="C13" s="96"/>
      <c r="D13" s="96"/>
      <c r="E13" s="96"/>
      <c r="F13" s="97"/>
      <c r="G13" s="7">
        <v>4.2200000000000001E-2</v>
      </c>
      <c r="H13" s="10"/>
    </row>
    <row r="14" spans="2:14" x14ac:dyDescent="0.35">
      <c r="B14" s="95" t="s">
        <v>2</v>
      </c>
      <c r="C14" s="96"/>
      <c r="D14" s="96"/>
      <c r="E14" s="96"/>
      <c r="F14" s="97"/>
      <c r="G14" s="7">
        <v>0</v>
      </c>
      <c r="H14" s="10"/>
      <c r="K14" s="5" t="s">
        <v>18</v>
      </c>
      <c r="L14" s="5"/>
      <c r="M14" s="5"/>
      <c r="N14" s="18">
        <f>G19+H10+H12</f>
        <v>103609.26385429926</v>
      </c>
    </row>
    <row r="16" spans="2:14" x14ac:dyDescent="0.35">
      <c r="B16" s="98" t="s">
        <v>14</v>
      </c>
      <c r="C16" s="99"/>
      <c r="D16" s="99"/>
      <c r="E16" s="99"/>
      <c r="F16" s="99"/>
    </row>
    <row r="17" spans="2:9" x14ac:dyDescent="0.35">
      <c r="B17" s="95" t="s">
        <v>15</v>
      </c>
      <c r="C17" s="96"/>
      <c r="D17" s="96"/>
      <c r="E17" s="96"/>
      <c r="F17" s="97"/>
      <c r="G17" s="13">
        <f>H9-H10</f>
        <v>55000</v>
      </c>
      <c r="I17" s="4"/>
    </row>
    <row r="18" spans="2:9" x14ac:dyDescent="0.35">
      <c r="B18" s="95" t="s">
        <v>6</v>
      </c>
      <c r="C18" s="96"/>
      <c r="D18" s="96"/>
      <c r="E18" s="96"/>
      <c r="F18" s="97"/>
      <c r="G18" s="14">
        <f>G13/12</f>
        <v>3.5166666666666666E-3</v>
      </c>
      <c r="H18" s="3"/>
    </row>
    <row r="19" spans="2:9" x14ac:dyDescent="0.35">
      <c r="B19" s="95" t="s">
        <v>17</v>
      </c>
      <c r="C19" s="96"/>
      <c r="D19" s="96"/>
      <c r="E19" s="96"/>
      <c r="F19" s="97"/>
      <c r="G19" s="13">
        <f>N8*G11</f>
        <v>57609.263854299264</v>
      </c>
    </row>
  </sheetData>
  <mergeCells count="12">
    <mergeCell ref="B7:F7"/>
    <mergeCell ref="B16:F16"/>
    <mergeCell ref="B17:F17"/>
    <mergeCell ref="B18:F18"/>
    <mergeCell ref="B19:F19"/>
    <mergeCell ref="B13:F13"/>
    <mergeCell ref="B14:F14"/>
    <mergeCell ref="K8:M8"/>
    <mergeCell ref="K9:M9"/>
    <mergeCell ref="B10:F10"/>
    <mergeCell ref="B11:F11"/>
    <mergeCell ref="B12:F12"/>
  </mergeCells>
  <dataValidations disablePrompts="1" count="1">
    <dataValidation type="whole" allowBlank="1" showInputMessage="1" showErrorMessage="1" errorTitle="Podaj prawidłową liczbę rat" error="Liczba rat w leasingu powinna mieścić się w zakresie do 24 do 84 miesięcy. " sqref="G11">
      <formula1>24</formula1>
      <formula2>84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29"/>
  <sheetViews>
    <sheetView topLeftCell="A4" workbookViewId="0">
      <selection activeCell="G14" sqref="G14"/>
    </sheetView>
  </sheetViews>
  <sheetFormatPr defaultRowHeight="14.5" x14ac:dyDescent="0.35"/>
  <cols>
    <col min="1" max="1" width="6.1796875" style="2" customWidth="1"/>
    <col min="2" max="6" width="8.7265625" style="2"/>
    <col min="7" max="7" width="11.453125" style="2" bestFit="1" customWidth="1"/>
    <col min="8" max="8" width="11.7265625" style="2" bestFit="1" customWidth="1"/>
    <col min="9" max="9" width="12.453125" style="2" bestFit="1" customWidth="1"/>
    <col min="10" max="12" width="8.7265625" style="2"/>
    <col min="13" max="13" width="19.08984375" style="2" customWidth="1"/>
    <col min="14" max="14" width="11.453125" style="2" bestFit="1" customWidth="1"/>
    <col min="15" max="15" width="11.81640625" style="2" customWidth="1"/>
    <col min="16" max="16" width="11.6328125" style="2" bestFit="1" customWidth="1"/>
    <col min="17" max="16384" width="8.7265625" style="2"/>
  </cols>
  <sheetData>
    <row r="5" spans="2:16" ht="18.5" x14ac:dyDescent="0.45">
      <c r="B5" s="12" t="s">
        <v>12</v>
      </c>
    </row>
    <row r="7" spans="2:16" x14ac:dyDescent="0.35">
      <c r="B7" s="98" t="s">
        <v>13</v>
      </c>
      <c r="C7" s="99"/>
      <c r="D7" s="99"/>
      <c r="E7" s="99"/>
      <c r="F7" s="99"/>
      <c r="N7" s="2" t="s">
        <v>134</v>
      </c>
      <c r="O7" s="2" t="s">
        <v>135</v>
      </c>
      <c r="P7" s="2" t="s">
        <v>139</v>
      </c>
    </row>
    <row r="8" spans="2:16" x14ac:dyDescent="0.35">
      <c r="G8" s="10" t="s">
        <v>3</v>
      </c>
      <c r="H8" s="10" t="s">
        <v>118</v>
      </c>
      <c r="I8" s="2" t="s">
        <v>136</v>
      </c>
      <c r="J8" s="2" t="s">
        <v>139</v>
      </c>
      <c r="K8" s="93" t="s">
        <v>7</v>
      </c>
      <c r="L8" s="94"/>
      <c r="M8" s="94"/>
      <c r="N8" s="13">
        <f>(((G17*G18*((1+G18)^G11))-(H12*G18)))/(((1+G18)^G11)-1)</f>
        <v>1662.9787124950117</v>
      </c>
      <c r="O8" s="13" t="e">
        <f>(((H17*H18*((1+H18)^G11))-(H12*H18)))/(((1+H18)^G11)-1)</f>
        <v>#REF!</v>
      </c>
      <c r="P8" s="13">
        <f>(((I17*I18*((1+I18)^G11))-(H12*I18)))/(((1+I18)^G11)-1)</f>
        <v>1746.8038581335231</v>
      </c>
    </row>
    <row r="9" spans="2:16" x14ac:dyDescent="0.35">
      <c r="B9" s="5" t="s">
        <v>10</v>
      </c>
      <c r="C9" s="5"/>
      <c r="D9" s="5"/>
      <c r="E9" s="5"/>
      <c r="F9" s="5"/>
      <c r="G9" s="11">
        <v>1</v>
      </c>
      <c r="H9" s="6">
        <v>100000</v>
      </c>
      <c r="K9" s="93" t="s">
        <v>8</v>
      </c>
      <c r="L9" s="94"/>
      <c r="M9" s="94"/>
      <c r="N9" s="15">
        <f>N8/H9</f>
        <v>1.6629787124950116E-2</v>
      </c>
      <c r="O9" s="15" t="e">
        <f>O8/H9</f>
        <v>#REF!</v>
      </c>
      <c r="P9" s="15">
        <f>P8/H9</f>
        <v>1.7468038581335232E-2</v>
      </c>
    </row>
    <row r="10" spans="2:16" x14ac:dyDescent="0.35">
      <c r="B10" s="95" t="s">
        <v>11</v>
      </c>
      <c r="C10" s="96"/>
      <c r="D10" s="96"/>
      <c r="E10" s="96"/>
      <c r="F10" s="97"/>
      <c r="G10" s="7">
        <v>0.1</v>
      </c>
      <c r="H10" s="8">
        <f>G10*H9</f>
        <v>10000</v>
      </c>
    </row>
    <row r="11" spans="2:16" x14ac:dyDescent="0.35">
      <c r="B11" s="95" t="s">
        <v>0</v>
      </c>
      <c r="C11" s="96"/>
      <c r="D11" s="96"/>
      <c r="E11" s="96"/>
      <c r="F11" s="97"/>
      <c r="G11" s="9">
        <v>60</v>
      </c>
      <c r="H11" s="10"/>
    </row>
    <row r="12" spans="2:16" x14ac:dyDescent="0.35">
      <c r="B12" s="95" t="s">
        <v>1</v>
      </c>
      <c r="C12" s="96"/>
      <c r="D12" s="96"/>
      <c r="E12" s="96"/>
      <c r="F12" s="97"/>
      <c r="G12" s="7">
        <v>0.01</v>
      </c>
      <c r="H12" s="8">
        <f>G12*H9</f>
        <v>1000</v>
      </c>
      <c r="K12" s="16" t="s">
        <v>9</v>
      </c>
      <c r="L12" s="16"/>
      <c r="M12" s="16"/>
      <c r="N12" s="17">
        <f>N14/H9</f>
        <v>1.1077872274970069</v>
      </c>
      <c r="O12" s="17" t="e">
        <f>O14/H9</f>
        <v>#REF!</v>
      </c>
      <c r="P12" s="17">
        <f>P14/H9</f>
        <v>1.1580823148801138</v>
      </c>
    </row>
    <row r="13" spans="2:16" x14ac:dyDescent="0.35">
      <c r="B13" s="95" t="s">
        <v>16</v>
      </c>
      <c r="C13" s="96"/>
      <c r="D13" s="96"/>
      <c r="E13" s="96"/>
      <c r="F13" s="97"/>
      <c r="G13" s="7">
        <v>4.4999999999999998E-2</v>
      </c>
      <c r="H13" s="10"/>
      <c r="I13" s="2" t="e">
        <f>IF(G23="1M",O22+G25,O22+G26)</f>
        <v>#REF!</v>
      </c>
      <c r="J13" s="2">
        <f>O22+G24</f>
        <v>6.5</v>
      </c>
    </row>
    <row r="14" spans="2:16" x14ac:dyDescent="0.35">
      <c r="B14" s="95" t="s">
        <v>2</v>
      </c>
      <c r="C14" s="96"/>
      <c r="D14" s="96"/>
      <c r="E14" s="96"/>
      <c r="F14" s="97"/>
      <c r="G14" s="7">
        <v>0</v>
      </c>
      <c r="H14" s="8">
        <f>G14*H9</f>
        <v>0</v>
      </c>
      <c r="K14" s="5" t="s">
        <v>18</v>
      </c>
      <c r="L14" s="5"/>
      <c r="M14" s="5"/>
      <c r="N14" s="18">
        <f>G19+H10+H12</f>
        <v>110778.7227497007</v>
      </c>
      <c r="O14" s="18" t="e">
        <f>H19+H10+H12</f>
        <v>#REF!</v>
      </c>
      <c r="P14" s="18">
        <f>I19+H12+H10</f>
        <v>115808.23148801138</v>
      </c>
    </row>
    <row r="16" spans="2:16" x14ac:dyDescent="0.35">
      <c r="B16" s="98" t="s">
        <v>14</v>
      </c>
      <c r="C16" s="99"/>
      <c r="D16" s="99"/>
      <c r="E16" s="99"/>
      <c r="F16" s="99"/>
    </row>
    <row r="17" spans="2:15" x14ac:dyDescent="0.35">
      <c r="B17" s="95" t="s">
        <v>15</v>
      </c>
      <c r="C17" s="96"/>
      <c r="D17" s="96"/>
      <c r="E17" s="96"/>
      <c r="F17" s="97"/>
      <c r="G17" s="13">
        <f>H9-H10+H14</f>
        <v>90000</v>
      </c>
      <c r="H17" s="13">
        <f>H9-H10+H14</f>
        <v>90000</v>
      </c>
      <c r="I17" s="13">
        <f>H9-H10+H14</f>
        <v>90000</v>
      </c>
    </row>
    <row r="18" spans="2:15" x14ac:dyDescent="0.35">
      <c r="B18" s="95" t="s">
        <v>6</v>
      </c>
      <c r="C18" s="96"/>
      <c r="D18" s="96"/>
      <c r="E18" s="96"/>
      <c r="F18" s="97"/>
      <c r="G18" s="14">
        <f>G13/12</f>
        <v>3.7499999999999999E-3</v>
      </c>
      <c r="H18" s="14" t="e">
        <f>(I13/12)/100</f>
        <v>#REF!</v>
      </c>
      <c r="I18" s="14">
        <f>(J13/12)/100</f>
        <v>5.416666666666666E-3</v>
      </c>
      <c r="K18" s="98" t="s">
        <v>115</v>
      </c>
      <c r="L18" s="99"/>
      <c r="M18" s="99"/>
      <c r="N18" s="99"/>
      <c r="O18" s="99"/>
    </row>
    <row r="19" spans="2:15" x14ac:dyDescent="0.35">
      <c r="B19" s="95" t="s">
        <v>17</v>
      </c>
      <c r="C19" s="96"/>
      <c r="D19" s="96"/>
      <c r="E19" s="96"/>
      <c r="F19" s="97"/>
      <c r="G19" s="13">
        <f>N8*G11</f>
        <v>99778.722749700697</v>
      </c>
      <c r="H19" s="13" t="e">
        <f>O8*G11</f>
        <v>#REF!</v>
      </c>
      <c r="I19" s="13">
        <f>P8*G11</f>
        <v>104808.23148801138</v>
      </c>
    </row>
    <row r="20" spans="2:15" x14ac:dyDescent="0.35">
      <c r="K20" s="16" t="s">
        <v>116</v>
      </c>
      <c r="L20" s="16"/>
      <c r="M20" s="16"/>
      <c r="N20" s="17">
        <f>Arkusz3!F5</f>
        <v>4.5000000000007034E-2</v>
      </c>
    </row>
    <row r="22" spans="2:15" x14ac:dyDescent="0.35">
      <c r="B22" s="95" t="s">
        <v>114</v>
      </c>
      <c r="C22" s="96"/>
      <c r="D22" s="96"/>
      <c r="E22" s="96"/>
      <c r="F22" s="97"/>
      <c r="G22" s="30">
        <v>2.0999999999999999E-3</v>
      </c>
      <c r="K22" s="16" t="s">
        <v>117</v>
      </c>
      <c r="L22" s="16"/>
      <c r="M22" s="16"/>
      <c r="N22" s="17">
        <f>N20-G22</f>
        <v>4.2900000000007037E-2</v>
      </c>
      <c r="O22" s="2">
        <v>3</v>
      </c>
    </row>
    <row r="23" spans="2:15" x14ac:dyDescent="0.35">
      <c r="B23" s="2" t="s">
        <v>133</v>
      </c>
      <c r="G23" s="2" t="s">
        <v>109</v>
      </c>
    </row>
    <row r="24" spans="2:15" x14ac:dyDescent="0.35">
      <c r="B24" s="2" t="s">
        <v>138</v>
      </c>
      <c r="G24" s="2">
        <v>3.5</v>
      </c>
    </row>
    <row r="25" spans="2:15" x14ac:dyDescent="0.35">
      <c r="B25" s="2" t="s">
        <v>132</v>
      </c>
      <c r="F25" s="2" t="s">
        <v>108</v>
      </c>
      <c r="G25" s="2" t="e">
        <f>#REF!</f>
        <v>#REF!</v>
      </c>
    </row>
    <row r="26" spans="2:15" x14ac:dyDescent="0.35">
      <c r="F26" s="2" t="s">
        <v>109</v>
      </c>
      <c r="G26" s="2" t="e">
        <f>#REF!</f>
        <v>#REF!</v>
      </c>
    </row>
    <row r="28" spans="2:15" x14ac:dyDescent="0.35">
      <c r="B28" s="2" t="s">
        <v>137</v>
      </c>
      <c r="F28" s="2" t="s">
        <v>108</v>
      </c>
    </row>
    <row r="29" spans="2:15" x14ac:dyDescent="0.35">
      <c r="F29" s="2" t="s">
        <v>109</v>
      </c>
    </row>
  </sheetData>
  <mergeCells count="14">
    <mergeCell ref="B22:F22"/>
    <mergeCell ref="K18:O18"/>
    <mergeCell ref="B19:F19"/>
    <mergeCell ref="B7:F7"/>
    <mergeCell ref="K8:M8"/>
    <mergeCell ref="K9:M9"/>
    <mergeCell ref="B10:F10"/>
    <mergeCell ref="B11:F11"/>
    <mergeCell ref="B12:F12"/>
    <mergeCell ref="B13:F13"/>
    <mergeCell ref="B14:F14"/>
    <mergeCell ref="B16:F16"/>
    <mergeCell ref="B17:F17"/>
    <mergeCell ref="B18:F18"/>
  </mergeCells>
  <dataValidations count="2">
    <dataValidation type="whole" allowBlank="1" showInputMessage="1" showErrorMessage="1" errorTitle="Podaj prawidłową liczbę rat" error="Liczba rat w leasingu powinna mieścić się w zakresie do 24 do 84 miesięcy. " sqref="G11">
      <formula1>24</formula1>
      <formula2>84</formula2>
    </dataValidation>
    <dataValidation type="list" allowBlank="1" showInputMessage="1" showErrorMessage="1" sqref="G2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tabSelected="1" zoomScale="85" zoomScaleNormal="85" workbookViewId="0">
      <selection activeCell="J32" sqref="J32"/>
    </sheetView>
  </sheetViews>
  <sheetFormatPr defaultRowHeight="14.5" x14ac:dyDescent="0.35"/>
  <cols>
    <col min="1" max="1" width="6.1796875" style="139" customWidth="1"/>
    <col min="2" max="6" width="8.7265625" style="139"/>
    <col min="7" max="7" width="12.36328125" style="139" customWidth="1"/>
    <col min="8" max="8" width="12.6328125" style="139" customWidth="1"/>
    <col min="9" max="9" width="10.54296875" style="139" customWidth="1"/>
    <col min="10" max="10" width="8.26953125" style="139" customWidth="1"/>
    <col min="11" max="11" width="8.7265625" style="139"/>
    <col min="12" max="12" width="6.54296875" style="139" customWidth="1"/>
    <col min="13" max="13" width="13.7265625" style="139" customWidth="1"/>
    <col min="14" max="14" width="13.1796875" style="139" customWidth="1"/>
    <col min="15" max="15" width="13.36328125" style="139" customWidth="1"/>
    <col min="16" max="17" width="12.6328125" style="139" customWidth="1"/>
    <col min="18" max="18" width="10" style="139" bestFit="1" customWidth="1"/>
    <col min="19" max="19" width="10.90625" style="139" customWidth="1"/>
    <col min="20" max="20" width="12.453125" style="139" customWidth="1"/>
    <col min="21" max="21" width="11.6328125" style="139" customWidth="1"/>
    <col min="22" max="16384" width="8.7265625" style="139"/>
  </cols>
  <sheetData>
    <row r="1" spans="1:21" x14ac:dyDescent="0.3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18.5" x14ac:dyDescent="0.45">
      <c r="A2" s="81"/>
      <c r="B2" s="35" t="s">
        <v>182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x14ac:dyDescent="0.3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x14ac:dyDescent="0.35">
      <c r="A4" s="81"/>
      <c r="B4" s="133" t="s">
        <v>13</v>
      </c>
      <c r="C4" s="134"/>
      <c r="D4" s="134"/>
      <c r="E4" s="134"/>
      <c r="F4" s="134"/>
      <c r="G4" s="81"/>
      <c r="H4" s="81"/>
      <c r="I4" s="81"/>
      <c r="J4" s="81"/>
      <c r="K4" s="81"/>
      <c r="L4" s="81"/>
      <c r="M4" s="81"/>
      <c r="N4" s="84"/>
      <c r="O4" s="84"/>
      <c r="P4" s="84"/>
      <c r="Q4" s="84"/>
      <c r="R4" s="81"/>
      <c r="S4" s="81"/>
      <c r="T4" s="81"/>
      <c r="U4" s="81"/>
    </row>
    <row r="5" spans="1:21" x14ac:dyDescent="0.35">
      <c r="A5" s="81"/>
      <c r="B5" s="81"/>
      <c r="C5" s="81"/>
      <c r="D5" s="81"/>
      <c r="E5" s="81"/>
      <c r="F5" s="81"/>
      <c r="G5" s="86" t="s">
        <v>3</v>
      </c>
      <c r="H5" s="86" t="s">
        <v>118</v>
      </c>
      <c r="I5" s="32" t="s">
        <v>142</v>
      </c>
      <c r="J5" s="32" t="s">
        <v>139</v>
      </c>
      <c r="K5" s="135" t="s">
        <v>184</v>
      </c>
      <c r="L5" s="109"/>
      <c r="M5" s="109"/>
      <c r="N5" s="109"/>
      <c r="O5" s="109"/>
      <c r="P5" s="77"/>
      <c r="Q5" s="78"/>
      <c r="R5" s="81"/>
      <c r="S5" s="81"/>
      <c r="T5" s="81"/>
      <c r="U5" s="81"/>
    </row>
    <row r="6" spans="1:21" x14ac:dyDescent="0.35">
      <c r="A6" s="81"/>
      <c r="B6" s="83" t="s">
        <v>10</v>
      </c>
      <c r="C6" s="83"/>
      <c r="D6" s="83"/>
      <c r="E6" s="83"/>
      <c r="F6" s="83"/>
      <c r="G6" s="36">
        <v>1</v>
      </c>
      <c r="H6" s="140">
        <v>50000</v>
      </c>
      <c r="I6" s="32"/>
      <c r="J6" s="32"/>
      <c r="K6" s="136"/>
      <c r="L6" s="137"/>
      <c r="M6" s="138"/>
      <c r="N6" s="58" t="s">
        <v>112</v>
      </c>
      <c r="O6" s="58" t="s">
        <v>113</v>
      </c>
      <c r="P6" s="33"/>
      <c r="Q6" s="33"/>
      <c r="R6" s="81"/>
      <c r="S6" s="81"/>
      <c r="T6" s="81"/>
      <c r="U6" s="81"/>
    </row>
    <row r="7" spans="1:21" x14ac:dyDescent="0.35">
      <c r="A7" s="81"/>
      <c r="B7" s="117" t="s">
        <v>11</v>
      </c>
      <c r="C7" s="118"/>
      <c r="D7" s="118"/>
      <c r="E7" s="118"/>
      <c r="F7" s="119"/>
      <c r="G7" s="141">
        <v>0.1</v>
      </c>
      <c r="H7" s="37">
        <f>G7*H6</f>
        <v>5000</v>
      </c>
      <c r="I7" s="32"/>
      <c r="J7" s="32"/>
      <c r="K7" s="108" t="s">
        <v>181</v>
      </c>
      <c r="L7" s="109"/>
      <c r="M7" s="109"/>
      <c r="N7" s="59">
        <f>'www '!C9</f>
        <v>6.86</v>
      </c>
      <c r="O7" s="59">
        <f>'www '!C10</f>
        <v>6.9</v>
      </c>
      <c r="P7" s="33"/>
      <c r="Q7" s="33"/>
      <c r="R7" s="81"/>
      <c r="S7" s="81"/>
      <c r="T7" s="81"/>
      <c r="U7" s="81"/>
    </row>
    <row r="8" spans="1:21" ht="17" x14ac:dyDescent="0.4">
      <c r="A8" s="81"/>
      <c r="B8" s="117" t="s">
        <v>0</v>
      </c>
      <c r="C8" s="118"/>
      <c r="D8" s="118"/>
      <c r="E8" s="118"/>
      <c r="F8" s="119"/>
      <c r="G8" s="76">
        <v>60</v>
      </c>
      <c r="H8" s="86"/>
      <c r="I8" s="32"/>
      <c r="J8" s="32"/>
      <c r="K8" s="126"/>
      <c r="L8" s="126"/>
      <c r="M8" s="126"/>
      <c r="N8" s="127"/>
      <c r="O8" s="127"/>
      <c r="P8" s="127"/>
      <c r="Q8" s="79"/>
      <c r="R8" s="81"/>
      <c r="S8" s="81"/>
      <c r="T8" s="81"/>
      <c r="U8" s="81"/>
    </row>
    <row r="9" spans="1:21" ht="17" x14ac:dyDescent="0.4">
      <c r="A9" s="81"/>
      <c r="B9" s="102" t="s">
        <v>1</v>
      </c>
      <c r="C9" s="103"/>
      <c r="D9" s="103"/>
      <c r="E9" s="103"/>
      <c r="F9" s="103"/>
      <c r="G9" s="141">
        <v>0.1</v>
      </c>
      <c r="H9" s="37">
        <f>G9*H6</f>
        <v>5000</v>
      </c>
      <c r="I9" s="32"/>
      <c r="J9" s="32"/>
      <c r="K9" s="126" t="s">
        <v>143</v>
      </c>
      <c r="L9" s="126"/>
      <c r="M9" s="126"/>
      <c r="N9" s="127"/>
      <c r="O9" s="127"/>
      <c r="P9" s="127"/>
      <c r="Q9" s="79"/>
      <c r="R9" s="81"/>
      <c r="S9" s="32"/>
      <c r="T9" s="32"/>
      <c r="U9" s="32"/>
    </row>
    <row r="10" spans="1:21" x14ac:dyDescent="0.35">
      <c r="A10" s="81"/>
      <c r="B10" s="81"/>
      <c r="C10" s="81"/>
      <c r="D10" s="81"/>
      <c r="E10" s="81"/>
      <c r="F10" s="81"/>
      <c r="G10" s="39"/>
      <c r="H10" s="38"/>
      <c r="I10" s="32"/>
      <c r="J10" s="32"/>
      <c r="K10" s="81"/>
      <c r="L10" s="81"/>
      <c r="M10" s="81"/>
      <c r="N10" s="84"/>
      <c r="O10" s="84"/>
      <c r="P10" s="84"/>
      <c r="Q10" s="84"/>
      <c r="R10" s="81"/>
      <c r="S10" s="70" t="s">
        <v>151</v>
      </c>
      <c r="T10" s="70" t="s">
        <v>152</v>
      </c>
      <c r="U10" s="70" t="s">
        <v>150</v>
      </c>
    </row>
    <row r="11" spans="1:21" x14ac:dyDescent="0.35">
      <c r="A11" s="81"/>
      <c r="B11" s="122" t="s">
        <v>145</v>
      </c>
      <c r="C11" s="123"/>
      <c r="D11" s="123"/>
      <c r="E11" s="123"/>
      <c r="F11" s="123"/>
      <c r="G11" s="87" t="s">
        <v>201</v>
      </c>
      <c r="H11" s="37" t="s">
        <v>152</v>
      </c>
      <c r="I11" s="32"/>
      <c r="J11" s="32"/>
      <c r="K11" s="110"/>
      <c r="L11" s="111"/>
      <c r="M11" s="111"/>
      <c r="N11" s="86" t="s">
        <v>148</v>
      </c>
      <c r="O11" s="86" t="s">
        <v>149</v>
      </c>
      <c r="P11" s="86" t="s">
        <v>150</v>
      </c>
      <c r="Q11" s="84"/>
      <c r="R11" s="81"/>
      <c r="S11" s="71">
        <f>$H$6-$H$7</f>
        <v>45000</v>
      </c>
      <c r="T11" s="71">
        <f t="shared" ref="T11:U11" si="0">$H$6-$H$7</f>
        <v>45000</v>
      </c>
      <c r="U11" s="71">
        <f t="shared" si="0"/>
        <v>45000</v>
      </c>
    </row>
    <row r="12" spans="1:21" x14ac:dyDescent="0.35">
      <c r="A12" s="81"/>
      <c r="B12" s="128" t="s">
        <v>140</v>
      </c>
      <c r="C12" s="129"/>
      <c r="D12" s="129"/>
      <c r="E12" s="129"/>
      <c r="F12" s="130"/>
      <c r="G12" s="75">
        <f>IF(G14="1M",N7,O7)</f>
        <v>6.86</v>
      </c>
      <c r="H12" s="142">
        <v>3.4</v>
      </c>
      <c r="I12" s="90"/>
      <c r="J12" s="32">
        <f>IF(G14="1M",G13+G23,G13+H23)</f>
        <v>2.5</v>
      </c>
      <c r="K12" s="131" t="s">
        <v>144</v>
      </c>
      <c r="L12" s="132"/>
      <c r="M12" s="132"/>
      <c r="N12" s="64">
        <f>(((S11*S12*((1+S12)^G8))-(H9*S12)))/(((1+S12)^G8)-1)</f>
        <v>876.34041279805763</v>
      </c>
      <c r="O12" s="64">
        <f>(((T11*T12*((1+T12)^G8))-(H9*T12)))/(((1+T12)^G8)-1)</f>
        <v>796.03681159398457</v>
      </c>
      <c r="P12" s="64">
        <f>(((U11*U12*((1+U12)^G8))-(H9*U12)))/(((1+U12)^G8)-1)</f>
        <v>821.21460828064573</v>
      </c>
      <c r="Q12" s="34"/>
      <c r="R12" s="81"/>
      <c r="S12" s="72">
        <f>G15/12</f>
        <v>7.7999999999999988E-3</v>
      </c>
      <c r="T12" s="62">
        <f>H15/12</f>
        <v>4.9166666666666673E-3</v>
      </c>
      <c r="U12" s="72">
        <f>(G18/12)/100</f>
        <v>5.8333333333333336E-3</v>
      </c>
    </row>
    <row r="13" spans="1:21" x14ac:dyDescent="0.35">
      <c r="A13" s="81"/>
      <c r="B13" s="117" t="s">
        <v>141</v>
      </c>
      <c r="C13" s="118"/>
      <c r="D13" s="118"/>
      <c r="E13" s="118"/>
      <c r="F13" s="119"/>
      <c r="G13" s="143">
        <v>2.5</v>
      </c>
      <c r="H13" s="120">
        <f>G13/100</f>
        <v>2.5000000000000001E-2</v>
      </c>
      <c r="I13" s="43"/>
      <c r="J13" s="81"/>
      <c r="K13" s="102" t="s">
        <v>8</v>
      </c>
      <c r="L13" s="103"/>
      <c r="M13" s="103"/>
      <c r="N13" s="58">
        <f>N12/H6</f>
        <v>1.7526808255961153E-2</v>
      </c>
      <c r="O13" s="58">
        <f>O12/H6</f>
        <v>1.592073623187969E-2</v>
      </c>
      <c r="P13" s="58">
        <f>P12/H6</f>
        <v>1.6424292165612916E-2</v>
      </c>
      <c r="Q13" s="33"/>
      <c r="R13" s="81"/>
      <c r="S13" s="71"/>
      <c r="T13" s="71"/>
      <c r="U13" s="71"/>
    </row>
    <row r="14" spans="1:21" x14ac:dyDescent="0.35">
      <c r="A14" s="81"/>
      <c r="B14" s="102" t="s">
        <v>183</v>
      </c>
      <c r="C14" s="103"/>
      <c r="D14" s="103"/>
      <c r="E14" s="103"/>
      <c r="F14" s="103"/>
      <c r="G14" s="144" t="s">
        <v>108</v>
      </c>
      <c r="H14" s="121"/>
      <c r="I14" s="81"/>
      <c r="J14" s="81"/>
      <c r="K14" s="92" t="s">
        <v>9</v>
      </c>
      <c r="L14" s="92"/>
      <c r="M14" s="92"/>
      <c r="N14" s="56">
        <f>((N12*G8)+H7+H9)/H6</f>
        <v>1.2516084953576692</v>
      </c>
      <c r="O14" s="56">
        <f>((O12*G8)+H7+H9)/H6</f>
        <v>1.1552441739127814</v>
      </c>
      <c r="P14" s="56">
        <f>((P12*G8)+H7+H9)/H6</f>
        <v>1.1854575299367749</v>
      </c>
      <c r="Q14" s="55"/>
      <c r="R14" s="81"/>
      <c r="S14" s="32"/>
      <c r="T14" s="32"/>
      <c r="U14" s="32"/>
    </row>
    <row r="15" spans="1:21" x14ac:dyDescent="0.35">
      <c r="A15" s="81"/>
      <c r="B15" s="102" t="s">
        <v>179</v>
      </c>
      <c r="C15" s="103"/>
      <c r="D15" s="103"/>
      <c r="E15" s="103"/>
      <c r="F15" s="103"/>
      <c r="G15" s="56">
        <f>(G12+G13)/100</f>
        <v>9.3599999999999989E-2</v>
      </c>
      <c r="H15" s="56">
        <f>(H12+G13)/100</f>
        <v>5.9000000000000004E-2</v>
      </c>
      <c r="I15" s="81"/>
      <c r="J15" s="81"/>
      <c r="K15" s="92" t="s">
        <v>18</v>
      </c>
      <c r="L15" s="83"/>
      <c r="M15" s="83"/>
      <c r="N15" s="64">
        <f>(H7+H9+(N12*G8))</f>
        <v>62580.424767883458</v>
      </c>
      <c r="O15" s="64">
        <f>(H7+H9+(O12*G8))</f>
        <v>57762.20869563907</v>
      </c>
      <c r="P15" s="64">
        <f>(H7+H9+(P12*G8))</f>
        <v>59272.87649683874</v>
      </c>
      <c r="Q15" s="34"/>
      <c r="R15" s="81"/>
      <c r="S15" s="32"/>
      <c r="T15" s="32"/>
      <c r="U15" s="32"/>
    </row>
    <row r="16" spans="1:21" x14ac:dyDescent="0.35">
      <c r="A16" s="81"/>
      <c r="B16" s="81"/>
      <c r="C16" s="81"/>
      <c r="D16" s="81"/>
      <c r="E16" s="81"/>
      <c r="F16" s="81"/>
      <c r="G16" s="38"/>
      <c r="H16" s="38"/>
      <c r="I16" s="81"/>
      <c r="J16" s="81"/>
      <c r="K16" s="89"/>
      <c r="L16" s="81"/>
      <c r="M16" s="81"/>
      <c r="N16" s="34"/>
      <c r="O16" s="34"/>
      <c r="P16" s="34"/>
      <c r="Q16" s="34"/>
      <c r="R16" s="81"/>
      <c r="S16" s="81"/>
      <c r="T16" s="81"/>
      <c r="U16" s="81"/>
    </row>
    <row r="17" spans="1:21" x14ac:dyDescent="0.35">
      <c r="A17" s="81"/>
      <c r="B17" s="122" t="s">
        <v>146</v>
      </c>
      <c r="C17" s="123"/>
      <c r="D17" s="123"/>
      <c r="E17" s="123"/>
      <c r="F17" s="123"/>
      <c r="G17" s="108" t="s">
        <v>147</v>
      </c>
      <c r="H17" s="109"/>
      <c r="I17" s="81"/>
      <c r="J17" s="81"/>
      <c r="K17" s="124"/>
      <c r="L17" s="125"/>
      <c r="M17" s="125"/>
      <c r="N17" s="34"/>
      <c r="O17" s="34"/>
      <c r="P17" s="34"/>
      <c r="Q17" s="34"/>
      <c r="R17" s="81"/>
      <c r="S17" s="81"/>
      <c r="T17" s="81"/>
      <c r="U17" s="81"/>
    </row>
    <row r="18" spans="1:21" x14ac:dyDescent="0.35">
      <c r="A18" s="81"/>
      <c r="B18" s="102" t="s">
        <v>180</v>
      </c>
      <c r="C18" s="103"/>
      <c r="D18" s="103"/>
      <c r="E18" s="103"/>
      <c r="F18" s="103"/>
      <c r="G18" s="145">
        <v>7</v>
      </c>
      <c r="H18" s="145"/>
      <c r="I18" s="81"/>
      <c r="J18" s="81"/>
      <c r="K18" s="116" t="s">
        <v>203</v>
      </c>
      <c r="L18" s="111"/>
      <c r="M18" s="111"/>
      <c r="N18" s="111"/>
      <c r="O18" s="111"/>
      <c r="P18" s="111"/>
      <c r="Q18" s="84"/>
      <c r="R18" s="57"/>
      <c r="S18" s="40"/>
      <c r="T18" s="81"/>
      <c r="U18" s="81"/>
    </row>
    <row r="19" spans="1:21" x14ac:dyDescent="0.35">
      <c r="A19" s="81"/>
      <c r="B19" s="116"/>
      <c r="C19" s="116"/>
      <c r="D19" s="116"/>
      <c r="E19" s="116"/>
      <c r="F19" s="116"/>
      <c r="G19" s="65"/>
      <c r="H19" s="67"/>
      <c r="I19" s="91"/>
      <c r="J19" s="91"/>
      <c r="K19" s="116"/>
      <c r="L19" s="116"/>
      <c r="M19" s="116"/>
      <c r="N19" s="116"/>
      <c r="O19" s="116"/>
      <c r="P19" s="68"/>
      <c r="Q19" s="41"/>
      <c r="R19" s="41"/>
      <c r="S19" s="41"/>
      <c r="T19" s="81"/>
      <c r="U19" s="81"/>
    </row>
    <row r="20" spans="1:21" x14ac:dyDescent="0.35">
      <c r="A20" s="81"/>
      <c r="B20" s="91"/>
      <c r="C20" s="91"/>
      <c r="D20" s="91"/>
      <c r="E20" s="91"/>
      <c r="F20" s="91"/>
      <c r="G20" s="65"/>
      <c r="H20" s="67"/>
      <c r="I20" s="91"/>
      <c r="J20" s="91"/>
      <c r="K20" s="91"/>
      <c r="L20" s="91"/>
      <c r="M20" s="91"/>
      <c r="N20" s="91"/>
      <c r="O20" s="91"/>
      <c r="P20" s="68"/>
      <c r="Q20" s="41"/>
      <c r="R20" s="41"/>
      <c r="S20" s="41"/>
      <c r="T20" s="81"/>
      <c r="U20" s="81"/>
    </row>
    <row r="21" spans="1:21" x14ac:dyDescent="0.35">
      <c r="A21" s="81"/>
      <c r="B21" s="91"/>
      <c r="C21" s="91"/>
      <c r="D21" s="91"/>
      <c r="E21" s="91"/>
      <c r="F21" s="91"/>
      <c r="G21" s="85"/>
      <c r="H21" s="67"/>
      <c r="I21" s="91"/>
      <c r="J21" s="91"/>
      <c r="K21" s="116"/>
      <c r="L21" s="116"/>
      <c r="M21" s="116"/>
      <c r="N21" s="116"/>
      <c r="O21" s="116"/>
      <c r="P21" s="69"/>
      <c r="Q21" s="42"/>
      <c r="R21" s="42"/>
      <c r="S21" s="42"/>
      <c r="T21" s="81"/>
      <c r="U21" s="81"/>
    </row>
    <row r="22" spans="1:21" x14ac:dyDescent="0.35">
      <c r="A22" s="81"/>
      <c r="B22" s="104" t="s">
        <v>185</v>
      </c>
      <c r="C22" s="104"/>
      <c r="D22" s="104"/>
      <c r="E22" s="104"/>
      <c r="F22" s="104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74"/>
      <c r="R22" s="41"/>
      <c r="S22" s="41"/>
      <c r="T22" s="81"/>
      <c r="U22" s="81"/>
    </row>
    <row r="23" spans="1:21" x14ac:dyDescent="0.35">
      <c r="A23" s="81"/>
      <c r="B23" s="81"/>
      <c r="C23" s="81"/>
      <c r="D23" s="81"/>
      <c r="E23" s="81"/>
      <c r="F23" s="81"/>
      <c r="G23" s="84"/>
      <c r="H23" s="84"/>
      <c r="I23" s="81"/>
      <c r="J23" s="81"/>
      <c r="K23" s="110"/>
      <c r="L23" s="111"/>
      <c r="M23" s="111"/>
      <c r="N23" s="33"/>
      <c r="O23" s="33"/>
      <c r="P23" s="33"/>
      <c r="Q23" s="33"/>
      <c r="R23" s="81"/>
      <c r="S23" s="81"/>
      <c r="T23" s="81"/>
      <c r="U23" s="81"/>
    </row>
    <row r="24" spans="1:21" x14ac:dyDescent="0.35">
      <c r="A24" s="81"/>
      <c r="B24" s="81"/>
      <c r="C24" s="81"/>
      <c r="D24" s="81"/>
      <c r="E24" s="81"/>
      <c r="F24" s="81"/>
      <c r="G24" s="84"/>
      <c r="H24" s="84"/>
      <c r="I24" s="81"/>
      <c r="J24" s="81"/>
      <c r="K24" s="81"/>
      <c r="L24" s="81"/>
      <c r="M24" s="81"/>
      <c r="N24" s="33"/>
      <c r="O24" s="33"/>
      <c r="P24" s="33"/>
      <c r="Q24" s="33"/>
      <c r="R24" s="81"/>
      <c r="S24" s="81"/>
      <c r="T24" s="81"/>
    </row>
    <row r="25" spans="1:21" x14ac:dyDescent="0.35">
      <c r="A25" s="81"/>
      <c r="B25" s="81"/>
      <c r="C25" s="81"/>
      <c r="D25" s="81"/>
      <c r="E25" s="81"/>
      <c r="F25" s="81"/>
      <c r="G25" s="84"/>
      <c r="H25" s="84"/>
      <c r="I25" s="81"/>
      <c r="J25" s="81"/>
      <c r="K25" s="81"/>
      <c r="L25" s="81"/>
      <c r="M25" s="81"/>
      <c r="N25" s="33"/>
      <c r="O25" s="33"/>
      <c r="P25" s="33"/>
      <c r="Q25" s="33"/>
      <c r="R25" s="81"/>
      <c r="S25" s="81"/>
      <c r="T25" s="81"/>
    </row>
    <row r="26" spans="1:21" x14ac:dyDescent="0.35">
      <c r="A26" s="81"/>
      <c r="B26" s="81"/>
      <c r="C26" s="81"/>
      <c r="D26" s="81"/>
      <c r="E26" s="81"/>
      <c r="F26" s="81"/>
      <c r="G26" s="39"/>
      <c r="H26" s="38"/>
      <c r="I26" s="81"/>
      <c r="J26" s="81"/>
      <c r="K26" s="89"/>
      <c r="L26" s="106" t="s">
        <v>200</v>
      </c>
      <c r="M26" s="113"/>
      <c r="N26" s="113"/>
      <c r="O26" s="113"/>
      <c r="P26" s="60"/>
      <c r="Q26" s="60"/>
      <c r="R26" s="32"/>
      <c r="S26" s="81"/>
      <c r="T26" s="81"/>
    </row>
    <row r="27" spans="1:21" x14ac:dyDescent="0.35">
      <c r="A27" s="81"/>
      <c r="B27" s="114"/>
      <c r="C27" s="114"/>
      <c r="D27" s="114"/>
      <c r="E27" s="114"/>
      <c r="F27" s="114"/>
      <c r="G27" s="40"/>
      <c r="H27" s="40"/>
      <c r="I27" s="40"/>
      <c r="J27" s="90"/>
      <c r="K27" s="63"/>
      <c r="L27" s="86" t="s">
        <v>176</v>
      </c>
      <c r="M27" s="86" t="s">
        <v>202</v>
      </c>
      <c r="N27" s="56" t="s">
        <v>175</v>
      </c>
      <c r="O27" s="56" t="s">
        <v>174</v>
      </c>
      <c r="P27" s="60" t="s">
        <v>192</v>
      </c>
      <c r="Q27" s="32" t="s">
        <v>191</v>
      </c>
      <c r="R27" s="32"/>
      <c r="S27" s="81"/>
      <c r="T27" s="81"/>
    </row>
    <row r="28" spans="1:21" x14ac:dyDescent="0.35">
      <c r="A28" s="81"/>
      <c r="B28" s="115"/>
      <c r="C28" s="115"/>
      <c r="D28" s="115"/>
      <c r="E28" s="115"/>
      <c r="F28" s="115"/>
      <c r="G28" s="41"/>
      <c r="H28" s="41"/>
      <c r="I28" s="41"/>
      <c r="J28" s="60">
        <f>M28+$H$13</f>
        <v>5.5E-2</v>
      </c>
      <c r="K28" s="32">
        <v>1</v>
      </c>
      <c r="L28" s="84">
        <f>IF($H$33&gt;=$K28,1,"")</f>
        <v>1</v>
      </c>
      <c r="M28" s="146">
        <v>0.03</v>
      </c>
      <c r="N28" s="66">
        <f>IF($H$33&gt;=$K28,((($T$11*Q28*((1+Q28)^$G$8))-($H$9*Q28)))/(((1+Q28)^$G$8)-1)," ")</f>
        <v>786.96315353795524</v>
      </c>
      <c r="O28" s="66">
        <f t="shared" ref="O28:O47" si="1">IF($H$33&gt;=$K28,$P$12,"")</f>
        <v>821.21460828064573</v>
      </c>
      <c r="P28" s="61">
        <f t="shared" ref="P28:P47" si="2">IF($H$33&gt;=$K28,IF($H$31="kwartał",$N28*3,IF($H$31="6 miesięcy",$N28*6,$N28*12))," ")</f>
        <v>2360.8894606138656</v>
      </c>
      <c r="Q28" s="62">
        <f>(M28+$G$13%)/12</f>
        <v>4.5833333333333334E-3</v>
      </c>
      <c r="R28" s="32"/>
      <c r="S28" s="81"/>
      <c r="T28" s="81"/>
    </row>
    <row r="29" spans="1:21" x14ac:dyDescent="0.35">
      <c r="A29" s="81"/>
      <c r="B29" s="115"/>
      <c r="C29" s="115"/>
      <c r="D29" s="115"/>
      <c r="E29" s="115"/>
      <c r="F29" s="115"/>
      <c r="G29" s="42"/>
      <c r="H29" s="42"/>
      <c r="I29" s="42"/>
      <c r="J29" s="60">
        <f t="shared" ref="J29:J47" si="3">M29+$H$13</f>
        <v>5.9000000000000004E-2</v>
      </c>
      <c r="K29" s="32">
        <v>2</v>
      </c>
      <c r="L29" s="84">
        <f>IF($H$33&gt;=$K29,2,"")</f>
        <v>2</v>
      </c>
      <c r="M29" s="147">
        <v>3.4000000000000002E-2</v>
      </c>
      <c r="N29" s="66">
        <f t="shared" ref="N29:N47" si="4">IF($H$33&gt;=$K29,((($T$11*Q29*((1+Q29)^$G$8))-($H$9*Q29)))/(((1+Q29)^$G$8)-1)," ")</f>
        <v>796.03681159398457</v>
      </c>
      <c r="O29" s="66">
        <f t="shared" si="1"/>
        <v>821.21460828064573</v>
      </c>
      <c r="P29" s="61">
        <f t="shared" si="2"/>
        <v>2388.1104347819537</v>
      </c>
      <c r="Q29" s="62">
        <f t="shared" ref="Q29:Q47" si="5">(M29+$G$13%)/12</f>
        <v>4.9166666666666673E-3</v>
      </c>
      <c r="R29" s="32"/>
      <c r="S29" s="81"/>
      <c r="T29" s="81"/>
    </row>
    <row r="30" spans="1:21" x14ac:dyDescent="0.35">
      <c r="A30" s="81"/>
      <c r="B30" s="106" t="s">
        <v>190</v>
      </c>
      <c r="C30" s="107"/>
      <c r="D30" s="107"/>
      <c r="E30" s="107"/>
      <c r="F30" s="107"/>
      <c r="G30" s="107"/>
      <c r="H30" s="107"/>
      <c r="I30" s="82"/>
      <c r="J30" s="60">
        <f t="shared" si="3"/>
        <v>6.2E-2</v>
      </c>
      <c r="K30" s="32">
        <v>3</v>
      </c>
      <c r="L30" s="84">
        <f>IF($H$33&gt;=$K30,3,"")</f>
        <v>3</v>
      </c>
      <c r="M30" s="147">
        <v>3.6999999999999998E-2</v>
      </c>
      <c r="N30" s="66">
        <f t="shared" si="4"/>
        <v>802.87075445436471</v>
      </c>
      <c r="O30" s="66">
        <f t="shared" si="1"/>
        <v>821.21460828064573</v>
      </c>
      <c r="P30" s="61">
        <f t="shared" si="2"/>
        <v>2408.6122633630939</v>
      </c>
      <c r="Q30" s="62">
        <f t="shared" si="5"/>
        <v>5.1666666666666666E-3</v>
      </c>
      <c r="R30" s="32"/>
      <c r="S30" s="81"/>
      <c r="T30" s="81"/>
    </row>
    <row r="31" spans="1:21" x14ac:dyDescent="0.35">
      <c r="A31" s="81"/>
      <c r="B31" s="108" t="s">
        <v>187</v>
      </c>
      <c r="C31" s="109"/>
      <c r="D31" s="109"/>
      <c r="E31" s="109"/>
      <c r="F31" s="109"/>
      <c r="G31" s="109"/>
      <c r="H31" s="76" t="s">
        <v>154</v>
      </c>
      <c r="I31" s="81"/>
      <c r="J31" s="60">
        <f t="shared" si="3"/>
        <v>6.5000000000000002E-2</v>
      </c>
      <c r="K31" s="32">
        <v>4</v>
      </c>
      <c r="L31" s="84">
        <f>IF($H$33&gt;=$K31,4,"")</f>
        <v>4</v>
      </c>
      <c r="M31" s="147">
        <v>0.04</v>
      </c>
      <c r="N31" s="66">
        <f t="shared" si="4"/>
        <v>809.72926208248236</v>
      </c>
      <c r="O31" s="66">
        <f t="shared" si="1"/>
        <v>821.21460828064573</v>
      </c>
      <c r="P31" s="61">
        <f t="shared" si="2"/>
        <v>2429.1877862474471</v>
      </c>
      <c r="Q31" s="62">
        <f t="shared" si="5"/>
        <v>5.4166666666666669E-3</v>
      </c>
      <c r="R31" s="32"/>
      <c r="S31" s="81"/>
      <c r="T31" s="81"/>
    </row>
    <row r="32" spans="1:21" x14ac:dyDescent="0.35">
      <c r="A32" s="81"/>
      <c r="B32" s="108" t="s">
        <v>188</v>
      </c>
      <c r="C32" s="109"/>
      <c r="D32" s="109"/>
      <c r="E32" s="109"/>
      <c r="F32" s="109"/>
      <c r="G32" s="109"/>
      <c r="H32" s="86">
        <f>G8</f>
        <v>60</v>
      </c>
      <c r="I32" s="81"/>
      <c r="J32" s="60">
        <f t="shared" si="3"/>
        <v>6.5000000000000002E-2</v>
      </c>
      <c r="K32" s="32">
        <v>5</v>
      </c>
      <c r="L32" s="84">
        <f>IF($H$33&gt;=$K32,5,"")</f>
        <v>5</v>
      </c>
      <c r="M32" s="147">
        <v>0.04</v>
      </c>
      <c r="N32" s="66">
        <f t="shared" si="4"/>
        <v>809.72926208248236</v>
      </c>
      <c r="O32" s="66">
        <f t="shared" si="1"/>
        <v>821.21460828064573</v>
      </c>
      <c r="P32" s="61">
        <f t="shared" si="2"/>
        <v>2429.1877862474471</v>
      </c>
      <c r="Q32" s="62">
        <f t="shared" si="5"/>
        <v>5.4166666666666669E-3</v>
      </c>
      <c r="R32" s="32"/>
      <c r="S32" s="81"/>
      <c r="T32" s="81"/>
    </row>
    <row r="33" spans="1:20" x14ac:dyDescent="0.35">
      <c r="A33" s="81"/>
      <c r="B33" s="108" t="s">
        <v>189</v>
      </c>
      <c r="C33" s="108"/>
      <c r="D33" s="108"/>
      <c r="E33" s="108"/>
      <c r="F33" s="108"/>
      <c r="G33" s="109"/>
      <c r="H33" s="86">
        <f>IF(H31="kwartał",ROUND((H32/3),0),IF(H31="6 miesięcy",ROUND((H32/6),0),ROUND((H32/12),0)))</f>
        <v>20</v>
      </c>
      <c r="I33" s="81"/>
      <c r="J33" s="60">
        <f t="shared" si="3"/>
        <v>6.5000000000000002E-2</v>
      </c>
      <c r="K33" s="32">
        <v>6</v>
      </c>
      <c r="L33" s="84">
        <f>IF($H$33&gt;=$K33,6,"")</f>
        <v>6</v>
      </c>
      <c r="M33" s="147">
        <v>0.04</v>
      </c>
      <c r="N33" s="66">
        <f t="shared" si="4"/>
        <v>809.72926208248236</v>
      </c>
      <c r="O33" s="66">
        <f t="shared" si="1"/>
        <v>821.21460828064573</v>
      </c>
      <c r="P33" s="61">
        <f t="shared" si="2"/>
        <v>2429.1877862474471</v>
      </c>
      <c r="Q33" s="62">
        <f t="shared" si="5"/>
        <v>5.4166666666666669E-3</v>
      </c>
      <c r="R33" s="32"/>
      <c r="S33" s="81"/>
      <c r="T33" s="81"/>
    </row>
    <row r="34" spans="1:20" x14ac:dyDescent="0.35">
      <c r="A34" s="81"/>
      <c r="B34" s="81"/>
      <c r="C34" s="81"/>
      <c r="D34" s="81"/>
      <c r="E34" s="81"/>
      <c r="F34" s="81"/>
      <c r="G34" s="81"/>
      <c r="H34" s="81"/>
      <c r="I34" s="81"/>
      <c r="J34" s="60">
        <f t="shared" si="3"/>
        <v>7.0000000000000007E-2</v>
      </c>
      <c r="K34" s="32">
        <v>7</v>
      </c>
      <c r="L34" s="84">
        <f>IF($H$33&gt;=$K34,7,"")</f>
        <v>7</v>
      </c>
      <c r="M34" s="147">
        <v>4.4999999999999998E-2</v>
      </c>
      <c r="N34" s="66">
        <f t="shared" si="4"/>
        <v>821.21460828064573</v>
      </c>
      <c r="O34" s="66">
        <f t="shared" si="1"/>
        <v>821.21460828064573</v>
      </c>
      <c r="P34" s="61">
        <f t="shared" si="2"/>
        <v>2463.6438248419372</v>
      </c>
      <c r="Q34" s="62">
        <f t="shared" si="5"/>
        <v>5.8333333333333336E-3</v>
      </c>
      <c r="R34" s="32"/>
      <c r="S34" s="81"/>
      <c r="T34" s="81"/>
    </row>
    <row r="35" spans="1:20" x14ac:dyDescent="0.35">
      <c r="A35" s="81"/>
      <c r="B35" s="81"/>
      <c r="C35" s="81"/>
      <c r="D35" s="81"/>
      <c r="E35" s="81"/>
      <c r="F35" s="81"/>
      <c r="G35" s="81"/>
      <c r="H35" s="81"/>
      <c r="I35" s="81"/>
      <c r="J35" s="60">
        <f t="shared" si="3"/>
        <v>7.0000000000000007E-2</v>
      </c>
      <c r="K35" s="32">
        <v>8</v>
      </c>
      <c r="L35" s="84">
        <f>IF($H$33&gt;=$K35,8,"")</f>
        <v>8</v>
      </c>
      <c r="M35" s="147">
        <v>4.4999999999999998E-2</v>
      </c>
      <c r="N35" s="66">
        <f t="shared" si="4"/>
        <v>821.21460828064573</v>
      </c>
      <c r="O35" s="66">
        <f t="shared" si="1"/>
        <v>821.21460828064573</v>
      </c>
      <c r="P35" s="61">
        <f t="shared" si="2"/>
        <v>2463.6438248419372</v>
      </c>
      <c r="Q35" s="62">
        <f t="shared" si="5"/>
        <v>5.8333333333333336E-3</v>
      </c>
      <c r="R35" s="32"/>
      <c r="S35" s="81"/>
      <c r="T35" s="81"/>
    </row>
    <row r="36" spans="1:20" x14ac:dyDescent="0.35">
      <c r="A36" s="81"/>
      <c r="B36" s="100" t="s">
        <v>193</v>
      </c>
      <c r="C36" s="101"/>
      <c r="D36" s="101"/>
      <c r="E36" s="101"/>
      <c r="F36" s="101"/>
      <c r="G36" s="101"/>
      <c r="H36" s="101"/>
      <c r="I36" s="81"/>
      <c r="J36" s="60">
        <f t="shared" si="3"/>
        <v>7.5000000000000011E-2</v>
      </c>
      <c r="K36" s="32">
        <v>9</v>
      </c>
      <c r="L36" s="84">
        <f>IF($H$33&gt;=$K36,9,"")</f>
        <v>9</v>
      </c>
      <c r="M36" s="147">
        <v>0.05</v>
      </c>
      <c r="N36" s="66">
        <f t="shared" si="4"/>
        <v>832.76794382494506</v>
      </c>
      <c r="O36" s="66">
        <f t="shared" si="1"/>
        <v>821.21460828064573</v>
      </c>
      <c r="P36" s="61">
        <f t="shared" si="2"/>
        <v>2498.3038314748351</v>
      </c>
      <c r="Q36" s="62">
        <f t="shared" si="5"/>
        <v>6.2500000000000012E-3</v>
      </c>
      <c r="R36" s="32"/>
      <c r="S36" s="81"/>
      <c r="T36" s="81"/>
    </row>
    <row r="37" spans="1:20" x14ac:dyDescent="0.35">
      <c r="A37" s="81"/>
      <c r="B37" s="81"/>
      <c r="C37" s="81"/>
      <c r="D37" s="81"/>
      <c r="E37" s="81"/>
      <c r="F37" s="81"/>
      <c r="G37" s="81"/>
      <c r="H37" s="81"/>
      <c r="I37" s="81"/>
      <c r="J37" s="60">
        <f t="shared" si="3"/>
        <v>7.5000000000000011E-2</v>
      </c>
      <c r="K37" s="32">
        <v>10</v>
      </c>
      <c r="L37" s="84">
        <f>IF($H$33&gt;=$K37,10,"")</f>
        <v>10</v>
      </c>
      <c r="M37" s="147">
        <v>0.05</v>
      </c>
      <c r="N37" s="66">
        <f t="shared" si="4"/>
        <v>832.76794382494506</v>
      </c>
      <c r="O37" s="66">
        <f t="shared" si="1"/>
        <v>821.21460828064573</v>
      </c>
      <c r="P37" s="61">
        <f t="shared" si="2"/>
        <v>2498.3038314748351</v>
      </c>
      <c r="Q37" s="62">
        <f t="shared" si="5"/>
        <v>6.2500000000000012E-3</v>
      </c>
      <c r="R37" s="32"/>
      <c r="S37" s="81"/>
      <c r="T37" s="81"/>
    </row>
    <row r="38" spans="1:20" x14ac:dyDescent="0.35">
      <c r="A38" s="81"/>
      <c r="B38" s="110"/>
      <c r="C38" s="111"/>
      <c r="D38" s="111"/>
      <c r="E38" s="111"/>
      <c r="F38" s="111"/>
      <c r="G38" s="88" t="s">
        <v>197</v>
      </c>
      <c r="H38" s="88" t="s">
        <v>150</v>
      </c>
      <c r="I38" s="81"/>
      <c r="J38" s="60">
        <f t="shared" si="3"/>
        <v>0.08</v>
      </c>
      <c r="K38" s="32">
        <v>11</v>
      </c>
      <c r="L38" s="84">
        <f>IF($H$33&gt;=$K38,11,"")</f>
        <v>11</v>
      </c>
      <c r="M38" s="147">
        <v>5.5E-2</v>
      </c>
      <c r="N38" s="66">
        <f t="shared" si="4"/>
        <v>844.38910486988607</v>
      </c>
      <c r="O38" s="66">
        <f t="shared" si="1"/>
        <v>821.21460828064573</v>
      </c>
      <c r="P38" s="61">
        <f t="shared" si="2"/>
        <v>2533.1673146096582</v>
      </c>
      <c r="Q38" s="62">
        <f t="shared" si="5"/>
        <v>6.6666666666666671E-3</v>
      </c>
      <c r="R38" s="32"/>
      <c r="S38" s="81"/>
      <c r="T38" s="81"/>
    </row>
    <row r="39" spans="1:20" x14ac:dyDescent="0.35">
      <c r="A39" s="81"/>
      <c r="B39" s="102" t="s">
        <v>194</v>
      </c>
      <c r="C39" s="103"/>
      <c r="D39" s="103"/>
      <c r="E39" s="103"/>
      <c r="F39" s="103"/>
      <c r="G39" s="64">
        <f>O48/H33</f>
        <v>814.00969672095835</v>
      </c>
      <c r="H39" s="64">
        <f>P12</f>
        <v>821.21460828064573</v>
      </c>
      <c r="I39" s="81"/>
      <c r="J39" s="60">
        <f t="shared" si="3"/>
        <v>8.4999999999999992E-2</v>
      </c>
      <c r="K39" s="32">
        <v>12</v>
      </c>
      <c r="L39" s="84">
        <f>IF($H$33&gt;=$K39,12,"")</f>
        <v>12</v>
      </c>
      <c r="M39" s="147">
        <v>0.06</v>
      </c>
      <c r="N39" s="66">
        <f t="shared" si="4"/>
        <v>856.07791974871441</v>
      </c>
      <c r="O39" s="66">
        <f t="shared" si="1"/>
        <v>821.21460828064573</v>
      </c>
      <c r="P39" s="61">
        <f t="shared" si="2"/>
        <v>2568.2337592461431</v>
      </c>
      <c r="Q39" s="62">
        <f t="shared" si="5"/>
        <v>7.083333333333333E-3</v>
      </c>
      <c r="R39" s="32"/>
      <c r="S39" s="81"/>
      <c r="T39" s="81"/>
    </row>
    <row r="40" spans="1:20" x14ac:dyDescent="0.35">
      <c r="A40" s="81"/>
      <c r="B40" s="102" t="s">
        <v>195</v>
      </c>
      <c r="C40" s="103"/>
      <c r="D40" s="103"/>
      <c r="E40" s="103"/>
      <c r="F40" s="103"/>
      <c r="G40" s="64">
        <f>IF(G8=59,Q48-G39,IF(G8=47,Q48-G39,IF(G8=35,Q48-G39,Q48)))</f>
        <v>48840.581803257483</v>
      </c>
      <c r="H40" s="64">
        <f>H39*H32</f>
        <v>49272.87649683874</v>
      </c>
      <c r="I40" s="81"/>
      <c r="J40" s="60">
        <f t="shared" si="3"/>
        <v>7.5000000000000011E-2</v>
      </c>
      <c r="K40" s="32">
        <v>13</v>
      </c>
      <c r="L40" s="84">
        <f>IF($H$33&gt;=$K40,13,"")</f>
        <v>13</v>
      </c>
      <c r="M40" s="147">
        <v>0.05</v>
      </c>
      <c r="N40" s="66">
        <f t="shared" si="4"/>
        <v>832.76794382494506</v>
      </c>
      <c r="O40" s="66">
        <f t="shared" si="1"/>
        <v>821.21460828064573</v>
      </c>
      <c r="P40" s="61">
        <f t="shared" si="2"/>
        <v>2498.3038314748351</v>
      </c>
      <c r="Q40" s="62">
        <f t="shared" si="5"/>
        <v>6.2500000000000012E-3</v>
      </c>
      <c r="R40" s="32"/>
      <c r="S40" s="81"/>
      <c r="T40" s="81"/>
    </row>
    <row r="41" spans="1:20" x14ac:dyDescent="0.35">
      <c r="A41" s="81"/>
      <c r="B41" s="102" t="s">
        <v>196</v>
      </c>
      <c r="C41" s="103"/>
      <c r="D41" s="103"/>
      <c r="E41" s="103"/>
      <c r="F41" s="103"/>
      <c r="G41" s="64">
        <f>G40+H7+H9</f>
        <v>58840.581803257483</v>
      </c>
      <c r="H41" s="64">
        <f>H40+H7+H9</f>
        <v>59272.87649683874</v>
      </c>
      <c r="I41" s="81"/>
      <c r="J41" s="60">
        <f t="shared" si="3"/>
        <v>6.5000000000000002E-2</v>
      </c>
      <c r="K41" s="32">
        <v>14</v>
      </c>
      <c r="L41" s="84">
        <f>IF($H$33&gt;=$K41,14,"")</f>
        <v>14</v>
      </c>
      <c r="M41" s="147">
        <v>0.04</v>
      </c>
      <c r="N41" s="66">
        <f t="shared" si="4"/>
        <v>809.72926208248236</v>
      </c>
      <c r="O41" s="66">
        <f t="shared" si="1"/>
        <v>821.21460828064573</v>
      </c>
      <c r="P41" s="61">
        <f t="shared" si="2"/>
        <v>2429.1877862474471</v>
      </c>
      <c r="Q41" s="62">
        <f t="shared" si="5"/>
        <v>5.4166666666666669E-3</v>
      </c>
      <c r="R41" s="32"/>
      <c r="S41" s="81"/>
      <c r="T41" s="81"/>
    </row>
    <row r="42" spans="1:20" x14ac:dyDescent="0.35">
      <c r="A42" s="81"/>
      <c r="B42" s="102" t="s">
        <v>9</v>
      </c>
      <c r="C42" s="103"/>
      <c r="D42" s="103"/>
      <c r="E42" s="103"/>
      <c r="F42" s="103"/>
      <c r="G42" s="73">
        <f>((O49*G8)+H7+H9)/H6</f>
        <v>1.1768116360651502</v>
      </c>
      <c r="H42" s="73">
        <f>((P49*G8)+H7+H9)/H6</f>
        <v>1.1854575299367753</v>
      </c>
      <c r="I42" s="81"/>
      <c r="J42" s="60">
        <f t="shared" si="3"/>
        <v>5.5E-2</v>
      </c>
      <c r="K42" s="32">
        <v>15</v>
      </c>
      <c r="L42" s="84">
        <f>IF($H$33&gt;=$K42,15,"")</f>
        <v>15</v>
      </c>
      <c r="M42" s="147">
        <v>0.03</v>
      </c>
      <c r="N42" s="66">
        <f t="shared" si="4"/>
        <v>786.96315353795524</v>
      </c>
      <c r="O42" s="66">
        <f t="shared" si="1"/>
        <v>821.21460828064573</v>
      </c>
      <c r="P42" s="61">
        <f t="shared" si="2"/>
        <v>2360.8894606138656</v>
      </c>
      <c r="Q42" s="62">
        <f t="shared" si="5"/>
        <v>4.5833333333333334E-3</v>
      </c>
      <c r="R42" s="32"/>
      <c r="S42" s="81"/>
      <c r="T42" s="81"/>
    </row>
    <row r="43" spans="1:20" x14ac:dyDescent="0.35">
      <c r="A43" s="81"/>
      <c r="B43" s="81"/>
      <c r="C43" s="81"/>
      <c r="D43" s="81"/>
      <c r="E43" s="81"/>
      <c r="F43" s="81"/>
      <c r="G43" s="81"/>
      <c r="H43" s="81"/>
      <c r="I43" s="81"/>
      <c r="J43" s="60">
        <f t="shared" si="3"/>
        <v>4.4999999999999998E-2</v>
      </c>
      <c r="K43" s="32">
        <v>16</v>
      </c>
      <c r="L43" s="84">
        <f>IF($H$33&gt;=$K43,16,"")</f>
        <v>16</v>
      </c>
      <c r="M43" s="147">
        <v>0.02</v>
      </c>
      <c r="N43" s="66">
        <f t="shared" si="4"/>
        <v>764.47076966067937</v>
      </c>
      <c r="O43" s="66">
        <f t="shared" si="1"/>
        <v>821.21460828064573</v>
      </c>
      <c r="P43" s="61">
        <f t="shared" si="2"/>
        <v>2293.4123089820382</v>
      </c>
      <c r="Q43" s="62">
        <f t="shared" si="5"/>
        <v>3.7499999999999999E-3</v>
      </c>
      <c r="R43" s="32"/>
      <c r="S43" s="81"/>
      <c r="T43" s="81"/>
    </row>
    <row r="44" spans="1:20" x14ac:dyDescent="0.35">
      <c r="A44" s="81"/>
      <c r="B44" s="81"/>
      <c r="C44" s="81"/>
      <c r="D44" s="81"/>
      <c r="E44" s="81"/>
      <c r="F44" s="81"/>
      <c r="G44" s="81"/>
      <c r="H44" s="81"/>
      <c r="I44" s="81"/>
      <c r="J44" s="60">
        <f t="shared" si="3"/>
        <v>5.5E-2</v>
      </c>
      <c r="K44" s="32">
        <v>17</v>
      </c>
      <c r="L44" s="84">
        <f>IF($H$33&gt;=$K44,17,"")</f>
        <v>17</v>
      </c>
      <c r="M44" s="147">
        <v>0.03</v>
      </c>
      <c r="N44" s="66">
        <f t="shared" si="4"/>
        <v>786.96315353795524</v>
      </c>
      <c r="O44" s="66">
        <f t="shared" si="1"/>
        <v>821.21460828064573</v>
      </c>
      <c r="P44" s="61">
        <f t="shared" si="2"/>
        <v>2360.8894606138656</v>
      </c>
      <c r="Q44" s="62">
        <f t="shared" si="5"/>
        <v>4.5833333333333334E-3</v>
      </c>
      <c r="R44" s="32"/>
      <c r="S44" s="81"/>
      <c r="T44" s="81"/>
    </row>
    <row r="45" spans="1:20" x14ac:dyDescent="0.35">
      <c r="A45" s="81"/>
      <c r="B45" s="81"/>
      <c r="C45" s="81"/>
      <c r="D45" s="81"/>
      <c r="E45" s="81"/>
      <c r="F45" s="81"/>
      <c r="G45" s="81"/>
      <c r="H45" s="81"/>
      <c r="I45" s="81"/>
      <c r="J45" s="60">
        <f t="shared" si="3"/>
        <v>5.5E-2</v>
      </c>
      <c r="K45" s="32">
        <v>18</v>
      </c>
      <c r="L45" s="84">
        <f>IF($H$33&gt;=$K45,18,"")</f>
        <v>18</v>
      </c>
      <c r="M45" s="147">
        <v>0.03</v>
      </c>
      <c r="N45" s="66">
        <f t="shared" si="4"/>
        <v>786.96315353795524</v>
      </c>
      <c r="O45" s="66">
        <f t="shared" si="1"/>
        <v>821.21460828064573</v>
      </c>
      <c r="P45" s="61">
        <f t="shared" si="2"/>
        <v>2360.8894606138656</v>
      </c>
      <c r="Q45" s="62">
        <f t="shared" si="5"/>
        <v>4.5833333333333334E-3</v>
      </c>
      <c r="R45" s="32"/>
      <c r="S45" s="81"/>
      <c r="T45" s="81"/>
    </row>
    <row r="46" spans="1:20" x14ac:dyDescent="0.35">
      <c r="A46" s="81"/>
      <c r="B46" s="32"/>
      <c r="C46" s="32"/>
      <c r="D46" s="91"/>
      <c r="E46" s="91"/>
      <c r="F46" s="91"/>
      <c r="G46" s="91"/>
      <c r="H46" s="91"/>
      <c r="I46" s="91"/>
      <c r="J46" s="60">
        <f t="shared" si="3"/>
        <v>7.5000000000000011E-2</v>
      </c>
      <c r="K46" s="32">
        <v>19</v>
      </c>
      <c r="L46" s="85">
        <f>IF($H$33&gt;=$K46,19,"")</f>
        <v>19</v>
      </c>
      <c r="M46" s="146">
        <v>0.05</v>
      </c>
      <c r="N46" s="80">
        <f t="shared" si="4"/>
        <v>832.76794382494506</v>
      </c>
      <c r="O46" s="80">
        <f t="shared" si="1"/>
        <v>821.21460828064573</v>
      </c>
      <c r="P46" s="61">
        <f t="shared" si="2"/>
        <v>2498.3038314748351</v>
      </c>
      <c r="Q46" s="62">
        <f t="shared" si="5"/>
        <v>6.2500000000000012E-3</v>
      </c>
      <c r="R46" s="32"/>
      <c r="S46" s="81"/>
      <c r="T46" s="81"/>
    </row>
    <row r="47" spans="1:20" x14ac:dyDescent="0.35">
      <c r="A47" s="81"/>
      <c r="B47" s="32">
        <f ca="1">OFFSET($L$28,0,0,COUNT($L$28:$L$47),1)</f>
        <v>20</v>
      </c>
      <c r="C47" s="32"/>
      <c r="D47" s="91"/>
      <c r="E47" s="91"/>
      <c r="F47" s="91"/>
      <c r="G47" s="91"/>
      <c r="H47" s="91"/>
      <c r="I47" s="91"/>
      <c r="J47" s="60">
        <f t="shared" si="3"/>
        <v>8.4999999999999992E-2</v>
      </c>
      <c r="K47" s="32">
        <v>20</v>
      </c>
      <c r="L47" s="85">
        <f>IF($H$33&gt;=$K47,20,"")</f>
        <v>20</v>
      </c>
      <c r="M47" s="146">
        <v>0.06</v>
      </c>
      <c r="N47" s="80">
        <f t="shared" si="4"/>
        <v>856.07791974871441</v>
      </c>
      <c r="O47" s="80">
        <f t="shared" si="1"/>
        <v>821.21460828064573</v>
      </c>
      <c r="P47" s="61">
        <f t="shared" si="2"/>
        <v>2568.2337592461431</v>
      </c>
      <c r="Q47" s="62">
        <f t="shared" si="5"/>
        <v>7.083333333333333E-3</v>
      </c>
      <c r="R47" s="32"/>
      <c r="S47" s="81"/>
      <c r="T47" s="81"/>
    </row>
    <row r="48" spans="1:20" x14ac:dyDescent="0.35">
      <c r="A48" s="81"/>
      <c r="B48" s="32" t="e">
        <f ca="1">OFFSET($N$28,0,0,COUNT($N$28:$N$47),1)</f>
        <v>#VALUE!</v>
      </c>
      <c r="C48" s="32"/>
      <c r="D48" s="91"/>
      <c r="E48" s="91"/>
      <c r="F48" s="91"/>
      <c r="G48" s="91"/>
      <c r="H48" s="91"/>
      <c r="I48" s="91"/>
      <c r="J48" s="32"/>
      <c r="K48" s="32"/>
      <c r="L48" s="91"/>
      <c r="M48" s="91"/>
      <c r="N48" s="32"/>
      <c r="O48" s="71">
        <f>SUM(N28:N47)</f>
        <v>16280.193934419167</v>
      </c>
      <c r="P48" s="71">
        <f>SUM(O28:O47)</f>
        <v>16424.292165612922</v>
      </c>
      <c r="Q48" s="71">
        <f>SUM(P28:P47)</f>
        <v>48840.581803257483</v>
      </c>
      <c r="R48" s="32"/>
      <c r="S48" s="81"/>
      <c r="T48" s="81"/>
    </row>
    <row r="49" spans="1:21" x14ac:dyDescent="0.35">
      <c r="A49" s="81"/>
      <c r="B49" s="32" t="e">
        <f ca="1">OFFSET($O$28,0,0,COUNT($O$28:$O$47),1)</f>
        <v>#VALUE!</v>
      </c>
      <c r="C49" s="32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32"/>
      <c r="O49" s="71">
        <f>O48/H33</f>
        <v>814.00969672095835</v>
      </c>
      <c r="P49" s="71">
        <f>P48/H33</f>
        <v>821.21460828064608</v>
      </c>
      <c r="Q49" s="32"/>
      <c r="R49" s="32"/>
      <c r="S49" s="81"/>
      <c r="T49" s="81"/>
      <c r="U49" s="81"/>
    </row>
    <row r="50" spans="1:21" x14ac:dyDescent="0.35">
      <c r="A50" s="81"/>
      <c r="B50" s="104" t="s">
        <v>199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91"/>
      <c r="R50" s="81"/>
      <c r="S50" s="81"/>
      <c r="T50" s="81"/>
      <c r="U50" s="81"/>
    </row>
    <row r="51" spans="1:21" x14ac:dyDescent="0.3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 x14ac:dyDescent="0.35">
      <c r="A52" s="81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81"/>
      <c r="R52" s="81"/>
      <c r="S52" s="81"/>
      <c r="T52" s="81"/>
      <c r="U52" s="81"/>
    </row>
    <row r="53" spans="1:21" x14ac:dyDescent="0.35">
      <c r="A53" s="81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1"/>
      <c r="R53" s="81"/>
      <c r="S53" s="81"/>
      <c r="T53" s="81"/>
      <c r="U53" s="81"/>
    </row>
    <row r="54" spans="1:21" x14ac:dyDescent="0.35">
      <c r="A54" s="81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1"/>
      <c r="R54" s="81"/>
      <c r="S54" s="81"/>
      <c r="T54" s="81"/>
      <c r="U54" s="81"/>
    </row>
    <row r="55" spans="1:21" x14ac:dyDescent="0.3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</row>
    <row r="56" spans="1:21" x14ac:dyDescent="0.3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</row>
    <row r="57" spans="1:21" x14ac:dyDescent="0.35">
      <c r="A57" s="81"/>
      <c r="B57" s="100" t="s">
        <v>198</v>
      </c>
      <c r="C57" s="101"/>
      <c r="D57" s="101"/>
      <c r="E57" s="101"/>
      <c r="F57" s="101"/>
      <c r="G57" s="101"/>
      <c r="H57" s="10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</row>
    <row r="58" spans="1:21" x14ac:dyDescent="0.3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</row>
    <row r="59" spans="1:21" x14ac:dyDescent="0.3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</row>
    <row r="60" spans="1:21" x14ac:dyDescent="0.3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</row>
    <row r="61" spans="1:21" x14ac:dyDescent="0.3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</row>
    <row r="62" spans="1:21" x14ac:dyDescent="0.3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</row>
    <row r="63" spans="1:21" x14ac:dyDescent="0.3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</row>
    <row r="64" spans="1:21" x14ac:dyDescent="0.3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</row>
    <row r="65" spans="1:21" x14ac:dyDescent="0.3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</row>
    <row r="66" spans="1:21" x14ac:dyDescent="0.3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</row>
    <row r="67" spans="1:21" x14ac:dyDescent="0.3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</row>
    <row r="68" spans="1:21" x14ac:dyDescent="0.3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</row>
    <row r="69" spans="1:21" x14ac:dyDescent="0.3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  <row r="70" spans="1:21" x14ac:dyDescent="0.3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</row>
    <row r="71" spans="1:21" x14ac:dyDescent="0.3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</row>
    <row r="72" spans="1:21" x14ac:dyDescent="0.3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</row>
    <row r="73" spans="1:21" x14ac:dyDescent="0.3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</row>
    <row r="74" spans="1:21" x14ac:dyDescent="0.3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</row>
    <row r="75" spans="1:21" x14ac:dyDescent="0.3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</row>
    <row r="76" spans="1:21" x14ac:dyDescent="0.3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</row>
    <row r="77" spans="1:21" x14ac:dyDescent="0.3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</row>
    <row r="78" spans="1:21" x14ac:dyDescent="0.3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</row>
    <row r="79" spans="1:21" x14ac:dyDescent="0.3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1" x14ac:dyDescent="0.3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</row>
    <row r="81" spans="1:21" x14ac:dyDescent="0.3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</row>
    <row r="82" spans="1:21" x14ac:dyDescent="0.3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</row>
    <row r="83" spans="1:21" x14ac:dyDescent="0.3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</row>
    <row r="84" spans="1:21" x14ac:dyDescent="0.3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</row>
    <row r="85" spans="1:21" x14ac:dyDescent="0.3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</row>
    <row r="86" spans="1:21" x14ac:dyDescent="0.3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</row>
    <row r="87" spans="1:21" x14ac:dyDescent="0.3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</row>
    <row r="88" spans="1:21" x14ac:dyDescent="0.3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</row>
    <row r="89" spans="1:21" x14ac:dyDescent="0.3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</row>
    <row r="90" spans="1:21" x14ac:dyDescent="0.3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  <row r="98" spans="1:21" x14ac:dyDescent="0.3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</row>
    <row r="99" spans="1:21" x14ac:dyDescent="0.3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</row>
    <row r="100" spans="1:21" x14ac:dyDescent="0.3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</row>
    <row r="101" spans="1:21" x14ac:dyDescent="0.3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</row>
    <row r="102" spans="1:21" x14ac:dyDescent="0.3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1:21" x14ac:dyDescent="0.3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pans="1:21" x14ac:dyDescent="0.3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</row>
    <row r="105" spans="1:21" x14ac:dyDescent="0.3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pans="1:21" x14ac:dyDescent="0.3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</row>
    <row r="107" spans="1:21" x14ac:dyDescent="0.3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</row>
    <row r="108" spans="1:21" x14ac:dyDescent="0.3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</row>
    <row r="109" spans="1:21" x14ac:dyDescent="0.3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</row>
    <row r="110" spans="1:21" x14ac:dyDescent="0.3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1" x14ac:dyDescent="0.3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</row>
    <row r="112" spans="1:21" x14ac:dyDescent="0.3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</row>
    <row r="113" spans="1:20" x14ac:dyDescent="0.3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</row>
    <row r="114" spans="1:20" x14ac:dyDescent="0.3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</row>
    <row r="115" spans="1:20" x14ac:dyDescent="0.3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</row>
    <row r="116" spans="1:20" x14ac:dyDescent="0.3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</row>
    <row r="117" spans="1:20" x14ac:dyDescent="0.3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</row>
    <row r="118" spans="1:20" x14ac:dyDescent="0.3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</row>
    <row r="119" spans="1:20" x14ac:dyDescent="0.3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</row>
    <row r="120" spans="1:20" x14ac:dyDescent="0.3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</row>
    <row r="121" spans="1:20" x14ac:dyDescent="0.3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</row>
    <row r="122" spans="1:20" x14ac:dyDescent="0.3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</row>
    <row r="123" spans="1:20" x14ac:dyDescent="0.3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</row>
    <row r="124" spans="1:20" x14ac:dyDescent="0.3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</row>
    <row r="125" spans="1:20" x14ac:dyDescent="0.3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</row>
    <row r="126" spans="1:20" x14ac:dyDescent="0.3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</row>
    <row r="127" spans="1:20" x14ac:dyDescent="0.3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</row>
    <row r="128" spans="1:20" x14ac:dyDescent="0.3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</row>
    <row r="129" spans="1:20" x14ac:dyDescent="0.3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</row>
    <row r="130" spans="1:20" x14ac:dyDescent="0.3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</row>
    <row r="131" spans="1:20" x14ac:dyDescent="0.3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</row>
    <row r="132" spans="1:20" x14ac:dyDescent="0.3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</row>
    <row r="133" spans="1:20" x14ac:dyDescent="0.3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</row>
    <row r="134" spans="1:20" x14ac:dyDescent="0.3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</row>
    <row r="135" spans="1:20" x14ac:dyDescent="0.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</row>
    <row r="136" spans="1:20" x14ac:dyDescent="0.3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</row>
    <row r="137" spans="1:20" x14ac:dyDescent="0.3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</row>
    <row r="138" spans="1:20" x14ac:dyDescent="0.3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</row>
    <row r="139" spans="1:20" x14ac:dyDescent="0.3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</row>
    <row r="140" spans="1:20" x14ac:dyDescent="0.3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</row>
    <row r="141" spans="1:20" x14ac:dyDescent="0.3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</row>
    <row r="142" spans="1:20" x14ac:dyDescent="0.3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</row>
    <row r="143" spans="1:20" x14ac:dyDescent="0.3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</row>
    <row r="144" spans="1:20" x14ac:dyDescent="0.3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</row>
    <row r="145" spans="1:20" x14ac:dyDescent="0.3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</row>
    <row r="146" spans="1:20" x14ac:dyDescent="0.3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spans="1:20" x14ac:dyDescent="0.3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spans="1:20" x14ac:dyDescent="0.3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</row>
    <row r="149" spans="1:20" x14ac:dyDescent="0.3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</row>
    <row r="150" spans="1:20" x14ac:dyDescent="0.3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</row>
    <row r="151" spans="1:20" x14ac:dyDescent="0.3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</row>
    <row r="152" spans="1:20" x14ac:dyDescent="0.3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spans="1:20" x14ac:dyDescent="0.3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spans="1:20" x14ac:dyDescent="0.3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</row>
    <row r="155" spans="1:20" x14ac:dyDescent="0.3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</row>
    <row r="156" spans="1:20" x14ac:dyDescent="0.3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</row>
    <row r="157" spans="1:20" x14ac:dyDescent="0.3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</row>
    <row r="158" spans="1:20" x14ac:dyDescent="0.3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</row>
    <row r="159" spans="1:20" x14ac:dyDescent="0.3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</row>
    <row r="160" spans="1:20" x14ac:dyDescent="0.3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</row>
    <row r="161" spans="1:19" x14ac:dyDescent="0.3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</row>
    <row r="162" spans="1:19" x14ac:dyDescent="0.3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</row>
    <row r="163" spans="1:19" x14ac:dyDescent="0.3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</row>
    <row r="164" spans="1:19" x14ac:dyDescent="0.3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</row>
    <row r="165" spans="1:19" x14ac:dyDescent="0.3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</row>
    <row r="166" spans="1:19" x14ac:dyDescent="0.3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</row>
    <row r="167" spans="1:19" x14ac:dyDescent="0.3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</row>
    <row r="168" spans="1:19" x14ac:dyDescent="0.3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</row>
    <row r="169" spans="1:19" x14ac:dyDescent="0.3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</row>
    <row r="170" spans="1:19" x14ac:dyDescent="0.3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</row>
    <row r="171" spans="1:19" x14ac:dyDescent="0.3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spans="1:19" x14ac:dyDescent="0.3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</row>
    <row r="173" spans="1:19" x14ac:dyDescent="0.3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</row>
    <row r="174" spans="1:19" x14ac:dyDescent="0.3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</row>
    <row r="175" spans="1:19" x14ac:dyDescent="0.3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</row>
    <row r="176" spans="1:19" x14ac:dyDescent="0.3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</row>
    <row r="177" spans="1:19" x14ac:dyDescent="0.3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</row>
    <row r="178" spans="1:19" x14ac:dyDescent="0.3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</row>
    <row r="179" spans="1:19" x14ac:dyDescent="0.3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</row>
    <row r="180" spans="1:19" x14ac:dyDescent="0.3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</row>
    <row r="181" spans="1:19" x14ac:dyDescent="0.3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</row>
    <row r="182" spans="1:19" x14ac:dyDescent="0.3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</row>
    <row r="183" spans="1:19" x14ac:dyDescent="0.3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spans="1:19" x14ac:dyDescent="0.3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</sheetData>
  <sheetProtection password="F109" sheet="1" objects="1" scenarios="1"/>
  <mergeCells count="46">
    <mergeCell ref="B36:H36"/>
    <mergeCell ref="B57:H57"/>
    <mergeCell ref="B38:F38"/>
    <mergeCell ref="B39:F39"/>
    <mergeCell ref="B40:F40"/>
    <mergeCell ref="B41:F41"/>
    <mergeCell ref="B42:F42"/>
    <mergeCell ref="B52:P52"/>
    <mergeCell ref="B50:P50"/>
    <mergeCell ref="B33:G33"/>
    <mergeCell ref="B30:H30"/>
    <mergeCell ref="B4:F4"/>
    <mergeCell ref="K6:M6"/>
    <mergeCell ref="B7:F7"/>
    <mergeCell ref="B8:F8"/>
    <mergeCell ref="B9:F9"/>
    <mergeCell ref="B12:F12"/>
    <mergeCell ref="B13:F13"/>
    <mergeCell ref="B27:F27"/>
    <mergeCell ref="B14:F14"/>
    <mergeCell ref="B11:F11"/>
    <mergeCell ref="K17:M17"/>
    <mergeCell ref="L26:O26"/>
    <mergeCell ref="B28:F28"/>
    <mergeCell ref="B29:F29"/>
    <mergeCell ref="B19:F19"/>
    <mergeCell ref="B31:G31"/>
    <mergeCell ref="B32:G32"/>
    <mergeCell ref="K12:M12"/>
    <mergeCell ref="K13:M13"/>
    <mergeCell ref="B15:F15"/>
    <mergeCell ref="H13:H14"/>
    <mergeCell ref="B17:F17"/>
    <mergeCell ref="G17:H17"/>
    <mergeCell ref="G18:H18"/>
    <mergeCell ref="B18:F18"/>
    <mergeCell ref="K23:M23"/>
    <mergeCell ref="K19:O19"/>
    <mergeCell ref="K21:O21"/>
    <mergeCell ref="B22:P22"/>
    <mergeCell ref="K18:P18"/>
    <mergeCell ref="K8:P8"/>
    <mergeCell ref="K11:M11"/>
    <mergeCell ref="K9:P9"/>
    <mergeCell ref="K7:M7"/>
    <mergeCell ref="K5:O5"/>
  </mergeCells>
  <conditionalFormatting sqref="G39:H39">
    <cfRule type="colorScale" priority="1">
      <colorScale>
        <cfvo type="min"/>
        <cfvo type="max"/>
        <color rgb="FF00B050"/>
        <color rgb="FFFF0000"/>
      </colorScale>
    </cfRule>
    <cfRule type="colorScale" priority="5">
      <colorScale>
        <cfvo type="min"/>
        <cfvo type="max"/>
        <color theme="9" tint="0.59999389629810485"/>
        <color theme="5" tint="0.59999389629810485"/>
      </colorScale>
    </cfRule>
  </conditionalFormatting>
  <conditionalFormatting sqref="G40:H40">
    <cfRule type="colorScale" priority="4">
      <colorScale>
        <cfvo type="min"/>
        <cfvo type="max"/>
        <color rgb="FF00B050"/>
        <color rgb="FFFF0000"/>
      </colorScale>
    </cfRule>
  </conditionalFormatting>
  <conditionalFormatting sqref="G41:H41">
    <cfRule type="colorScale" priority="3">
      <colorScale>
        <cfvo type="min"/>
        <cfvo type="max"/>
        <color rgb="FF00B050"/>
        <color rgb="FFFF0000"/>
      </colorScale>
    </cfRule>
  </conditionalFormatting>
  <conditionalFormatting sqref="G42:H42">
    <cfRule type="colorScale" priority="2">
      <colorScale>
        <cfvo type="min"/>
        <cfvo type="max"/>
        <color rgb="FF00B050"/>
        <color rgb="FFFF0000"/>
      </colorScale>
    </cfRule>
  </conditionalFormatting>
  <conditionalFormatting sqref="M28:M47">
    <cfRule type="expression" dxfId="6" priority="6">
      <formula>IF($H$33&gt;=$K28,1,"")</formula>
    </cfRule>
    <cfRule type="expression" dxfId="5" priority="8">
      <formula>IF($H$33&lt;=$K27,1,"")</formula>
    </cfRule>
  </conditionalFormatting>
  <conditionalFormatting sqref="N28:N47">
    <cfRule type="colorScale" priority="7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N10:Q10">
    <cfRule type="colorScale" priority="11">
      <colorScale>
        <cfvo type="min"/>
        <cfvo type="percentile" val="50"/>
        <cfvo type="max"/>
        <color theme="9"/>
        <color rgb="FFFFEB84"/>
        <color rgb="FFFF0000"/>
      </colorScale>
    </cfRule>
  </conditionalFormatting>
  <conditionalFormatting sqref="N11:Q11">
    <cfRule type="colorScale" priority="9">
      <colorScale>
        <cfvo type="min"/>
        <cfvo type="percentile" val="50"/>
        <cfvo type="max"/>
        <color theme="9"/>
        <color rgb="FFFFEB84"/>
        <color rgb="FFFF0000"/>
      </colorScale>
    </cfRule>
  </conditionalFormatting>
  <conditionalFormatting sqref="N15:Q15">
    <cfRule type="colorScale" priority="10">
      <colorScale>
        <cfvo type="min"/>
        <cfvo type="percentile" val="50"/>
        <cfvo type="max"/>
        <color theme="9"/>
        <color rgb="FFFFEB84"/>
        <color rgb="FFFF0000"/>
      </colorScale>
    </cfRule>
  </conditionalFormatting>
  <conditionalFormatting sqref="N16:Q16">
    <cfRule type="colorScale" priority="14">
      <colorScale>
        <cfvo type="min"/>
        <cfvo type="percentile" val="50"/>
        <cfvo type="max"/>
        <color theme="9"/>
        <color rgb="FFFFEB84"/>
        <color rgb="FFFF0000"/>
      </colorScale>
    </cfRule>
  </conditionalFormatting>
  <dataValidations disablePrompts="1" count="3">
    <dataValidation type="whole" allowBlank="1" showInputMessage="1" showErrorMessage="1" errorTitle="Podaj prawidłową liczbę rat" error="Liczba rat w leasingu powinna mieścić się w zakresie do 24 do 60 miesięcy. " sqref="G8">
      <formula1>24</formula1>
      <formula2>60</formula2>
    </dataValidation>
    <dataValidation type="list" allowBlank="1" showInputMessage="1" showErrorMessage="1" sqref="G34">
      <formula1>#REF!</formula1>
    </dataValidation>
    <dataValidation operator="lessThanOrEqual" showErrorMessage="1" error="Wartość opłaty wstępnej powinna się zawierać w przedziale od 0% do 45%" sqref="G7"/>
  </dataValidations>
  <pageMargins left="0.7" right="0.7" top="0.75" bottom="0.75" header="0.3" footer="0.3"/>
  <pageSetup paperSize="9" orientation="portrait" verticalDpi="0" r:id="rId1"/>
  <ignoredErrors>
    <ignoredError sqref="B47:B49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'www '!$I$3:$I$4</xm:f>
          </x14:formula1>
          <xm:sqref>G14</xm:sqref>
        </x14:dataValidation>
        <x14:dataValidation type="list" allowBlank="1" showInputMessage="1" showErrorMessage="1">
          <x14:formula1>
            <xm:f>Arkusz4!$A$1:$A$3</xm:f>
          </x14:formula1>
          <xm:sqref>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I28" sqref="I28"/>
    </sheetView>
  </sheetViews>
  <sheetFormatPr defaultRowHeight="14.5" x14ac:dyDescent="0.35"/>
  <cols>
    <col min="1" max="1" width="24.54296875" bestFit="1" customWidth="1"/>
    <col min="2" max="2" width="9.7265625" bestFit="1" customWidth="1"/>
    <col min="3" max="3" width="9.26953125" bestFit="1" customWidth="1"/>
    <col min="4" max="4" width="9.08984375" bestFit="1" customWidth="1"/>
    <col min="9" max="9" width="9.08984375" bestFit="1" customWidth="1"/>
    <col min="11" max="11" width="10.7265625" style="54" bestFit="1" customWidth="1"/>
    <col min="12" max="12" width="10.7265625" customWidth="1"/>
    <col min="13" max="13" width="12.81640625" style="53" customWidth="1"/>
    <col min="14" max="14" width="9.453125" style="53" bestFit="1" customWidth="1"/>
    <col min="15" max="15" width="10.453125" style="53" bestFit="1" customWidth="1"/>
  </cols>
  <sheetData>
    <row r="1" spans="1:16" x14ac:dyDescent="0.35">
      <c r="A1" t="s">
        <v>153</v>
      </c>
      <c r="D1" t="s">
        <v>157</v>
      </c>
      <c r="I1" t="s">
        <v>176</v>
      </c>
      <c r="J1" t="s">
        <v>171</v>
      </c>
      <c r="L1" t="s">
        <v>177</v>
      </c>
      <c r="M1" s="53" t="s">
        <v>175</v>
      </c>
      <c r="N1" s="53" t="s">
        <v>174</v>
      </c>
      <c r="O1" s="53" t="s">
        <v>172</v>
      </c>
      <c r="P1" t="s">
        <v>172</v>
      </c>
    </row>
    <row r="2" spans="1:16" x14ac:dyDescent="0.35">
      <c r="A2" t="s">
        <v>155</v>
      </c>
      <c r="H2">
        <v>1</v>
      </c>
      <c r="I2">
        <f>IF($D$4&gt;=$H2,1,"")</f>
        <v>1</v>
      </c>
      <c r="J2">
        <v>6</v>
      </c>
      <c r="K2" s="54">
        <f>IF($D$4&gt;=$H2,((J2/12)/100)," ")</f>
        <v>5.0000000000000001E-3</v>
      </c>
      <c r="L2">
        <f>IF($D$4&gt;=$H2,1,"")</f>
        <v>1</v>
      </c>
      <c r="M2" s="53">
        <f>IF($D$4&gt;=$H2,((($C$21*K2*((1+K2)^$C$12))-($C$14*K2)))/(((1+K2)^$C$12)-1)," ")</f>
        <v>1453.2961070599897</v>
      </c>
      <c r="N2" s="53">
        <f>IF($D$4&gt;=$H2,kalkulator!$P$8," ")</f>
        <v>0</v>
      </c>
      <c r="O2" s="53">
        <f>IF($D$4&gt;=$H2,IF($A$2="kwartał",$M2*3,IF($A$2="6 miesięcy",$M2*6,$M2*12))," ")</f>
        <v>17439.553284719877</v>
      </c>
    </row>
    <row r="3" spans="1:16" x14ac:dyDescent="0.35">
      <c r="H3">
        <v>2</v>
      </c>
      <c r="I3">
        <f>IF($D$4&gt;=$H3,2," ")</f>
        <v>2</v>
      </c>
      <c r="J3">
        <v>0.1</v>
      </c>
      <c r="K3" s="54">
        <f t="shared" ref="K3:K21" si="0">IF($D$4&gt;=$H3,((J3/12)/100)," ")</f>
        <v>8.3333333333333331E-5</v>
      </c>
      <c r="L3">
        <f>IF($D$4&gt;=$H3,2,"")</f>
        <v>2</v>
      </c>
      <c r="M3" s="53">
        <f>IF($D$4&gt;=$H3,((($C$21*K3*((1+K3)^$C$12))-($C$14*K3)))/(((1+K3)^$C$12)-1)," ")</f>
        <v>1171.3010408885389</v>
      </c>
      <c r="N3" s="53">
        <f>IF($D$4&gt;=$H3,kalkulator!$P$8," ")</f>
        <v>0</v>
      </c>
      <c r="O3" s="53">
        <f t="shared" ref="O3:O21" si="1">IF($D$4&gt;=$H3,IF($A$2="kwartał",$M3*3,IF($A$2="6 miesięcy",$M3*6,$M3*12))," ")</f>
        <v>14055.612490662466</v>
      </c>
    </row>
    <row r="4" spans="1:16" x14ac:dyDescent="0.35">
      <c r="A4" t="s">
        <v>158</v>
      </c>
      <c r="B4">
        <f>kalkulator!G8</f>
        <v>60</v>
      </c>
      <c r="D4">
        <f>IF(A2="kwartał",B4/3,IF(A2="6 miesięcy",B4/6,B4/12))</f>
        <v>5</v>
      </c>
      <c r="E4">
        <f>D4</f>
        <v>5</v>
      </c>
      <c r="H4">
        <v>3</v>
      </c>
      <c r="I4">
        <f>IF($D$4&gt;=$H4,3," ")</f>
        <v>3</v>
      </c>
      <c r="J4">
        <v>1</v>
      </c>
      <c r="K4" s="54">
        <f t="shared" si="0"/>
        <v>8.3333333333333328E-4</v>
      </c>
      <c r="L4">
        <f>IF($D$4&gt;=$H4,3,"")</f>
        <v>3</v>
      </c>
      <c r="M4" s="53">
        <f t="shared" ref="M4:M21" si="2">IF($D$4&gt;=$H4,((($C$21*K4*((1+K4)^$C$12))-($C$14*K4)))/(((1+K4)^$C$12)-1)," ")</f>
        <v>1213.2289878485246</v>
      </c>
      <c r="N4" s="53">
        <f>IF($D$4&gt;=$H4,kalkulator!$P$8," ")</f>
        <v>0</v>
      </c>
      <c r="O4" s="53">
        <f t="shared" si="1"/>
        <v>14558.747854182297</v>
      </c>
    </row>
    <row r="5" spans="1:16" x14ac:dyDescent="0.35">
      <c r="H5">
        <v>4</v>
      </c>
      <c r="I5">
        <f>IF($D$4&gt;=$H5,4," ")</f>
        <v>4</v>
      </c>
      <c r="J5">
        <v>7</v>
      </c>
      <c r="K5" s="54">
        <f t="shared" si="0"/>
        <v>5.8333333333333336E-3</v>
      </c>
      <c r="L5">
        <f>IF($D$4&gt;=$H5,4,"")</f>
        <v>4</v>
      </c>
      <c r="M5" s="53">
        <f t="shared" si="2"/>
        <v>1502.7505644911303</v>
      </c>
      <c r="N5" s="53">
        <f>IF($D$4&gt;=$H5,kalkulator!$P$8," ")</f>
        <v>0</v>
      </c>
      <c r="O5" s="53">
        <f t="shared" si="1"/>
        <v>18033.006773893561</v>
      </c>
    </row>
    <row r="6" spans="1:16" x14ac:dyDescent="0.35">
      <c r="H6">
        <v>5</v>
      </c>
      <c r="I6">
        <f>IF($D$4&gt;=$H6,5," ")</f>
        <v>5</v>
      </c>
      <c r="J6">
        <v>0.1</v>
      </c>
      <c r="K6" s="54">
        <f t="shared" si="0"/>
        <v>8.3333333333333331E-5</v>
      </c>
      <c r="L6">
        <f>IF($D$4&gt;=$H6,5,"")</f>
        <v>5</v>
      </c>
      <c r="M6" s="53">
        <f t="shared" si="2"/>
        <v>1171.3010408885389</v>
      </c>
      <c r="N6" s="53">
        <f>IF($D$4&gt;=$H6,kalkulator!$P$8," ")</f>
        <v>0</v>
      </c>
      <c r="O6" s="53">
        <f t="shared" si="1"/>
        <v>14055.612490662466</v>
      </c>
    </row>
    <row r="7" spans="1:16" x14ac:dyDescent="0.35">
      <c r="H7">
        <v>6</v>
      </c>
      <c r="I7" t="str">
        <f>IF($D$4&gt;=$H7,6," ")</f>
        <v xml:space="preserve"> </v>
      </c>
      <c r="J7">
        <v>5</v>
      </c>
      <c r="K7" s="54" t="str">
        <f t="shared" si="0"/>
        <v xml:space="preserve"> </v>
      </c>
      <c r="L7" t="str">
        <f>IF($D$4&gt;=$H7,6,"")</f>
        <v/>
      </c>
      <c r="M7" s="53" t="str">
        <f t="shared" si="2"/>
        <v xml:space="preserve"> </v>
      </c>
      <c r="N7" s="53" t="str">
        <f>IF($D$4&gt;=$H7,kalkulator!$P$8," ")</f>
        <v xml:space="preserve"> </v>
      </c>
      <c r="O7" s="53" t="str">
        <f t="shared" si="1"/>
        <v xml:space="preserve"> </v>
      </c>
    </row>
    <row r="8" spans="1:16" x14ac:dyDescent="0.35">
      <c r="H8">
        <v>7</v>
      </c>
      <c r="I8" t="str">
        <f>IF($D$4&gt;=$H8,7," ")</f>
        <v xml:space="preserve"> </v>
      </c>
      <c r="J8">
        <v>9</v>
      </c>
      <c r="K8" s="54" t="str">
        <f t="shared" si="0"/>
        <v xml:space="preserve"> </v>
      </c>
      <c r="L8" t="str">
        <f>IF($D$4&gt;=$H8,7,"")</f>
        <v/>
      </c>
      <c r="M8" s="53" t="str">
        <f t="shared" si="2"/>
        <v xml:space="preserve"> </v>
      </c>
      <c r="N8" s="53" t="str">
        <f>IF($D$4&gt;=$H8,kalkulator!$P$8," ")</f>
        <v xml:space="preserve"> </v>
      </c>
      <c r="O8" s="53" t="str">
        <f t="shared" si="1"/>
        <v xml:space="preserve"> </v>
      </c>
    </row>
    <row r="9" spans="1:16" x14ac:dyDescent="0.35">
      <c r="H9">
        <v>8</v>
      </c>
      <c r="I9" t="str">
        <f>IF($D$4&gt;=$H9,8," ")</f>
        <v xml:space="preserve"> </v>
      </c>
      <c r="J9">
        <v>5</v>
      </c>
      <c r="K9" s="54" t="str">
        <f t="shared" si="0"/>
        <v xml:space="preserve"> </v>
      </c>
      <c r="L9" t="str">
        <f>IF($D$4&gt;=$H9,8,"")</f>
        <v/>
      </c>
      <c r="M9" s="53" t="str">
        <f t="shared" si="2"/>
        <v xml:space="preserve"> </v>
      </c>
      <c r="N9" s="53" t="str">
        <f>IF($D$4&gt;=$H9,kalkulator!$P$8," ")</f>
        <v xml:space="preserve"> </v>
      </c>
      <c r="O9" s="53" t="str">
        <f t="shared" si="1"/>
        <v xml:space="preserve"> </v>
      </c>
    </row>
    <row r="10" spans="1:16" x14ac:dyDescent="0.35">
      <c r="H10">
        <v>9</v>
      </c>
      <c r="I10" t="str">
        <f>IF($D$4&gt;=$H10,9," ")</f>
        <v xml:space="preserve"> </v>
      </c>
      <c r="J10">
        <v>5</v>
      </c>
      <c r="K10" s="54" t="str">
        <f t="shared" si="0"/>
        <v xml:space="preserve"> </v>
      </c>
      <c r="L10" t="str">
        <f>IF($D$4&gt;=$H10,9,"")</f>
        <v/>
      </c>
      <c r="M10" s="53" t="str">
        <f t="shared" si="2"/>
        <v xml:space="preserve"> </v>
      </c>
      <c r="N10" s="53" t="str">
        <f>IF($D$4&gt;=$H10,kalkulator!$P$8," ")</f>
        <v xml:space="preserve"> </v>
      </c>
      <c r="O10" s="53" t="str">
        <f t="shared" si="1"/>
        <v xml:space="preserve"> </v>
      </c>
    </row>
    <row r="11" spans="1:16" x14ac:dyDescent="0.35">
      <c r="A11" t="s">
        <v>159</v>
      </c>
      <c r="C11" s="44">
        <v>100000</v>
      </c>
      <c r="H11">
        <v>10</v>
      </c>
      <c r="I11" t="str">
        <f>IF($D$4&gt;=$H11,10," ")</f>
        <v xml:space="preserve"> </v>
      </c>
      <c r="J11">
        <v>4</v>
      </c>
      <c r="K11" s="54" t="str">
        <f t="shared" si="0"/>
        <v xml:space="preserve"> </v>
      </c>
      <c r="L11" t="str">
        <f>IF($D$4&gt;=$H11,10,"")</f>
        <v/>
      </c>
      <c r="M11" s="53" t="str">
        <f t="shared" si="2"/>
        <v xml:space="preserve"> </v>
      </c>
      <c r="N11" s="53" t="str">
        <f>IF($D$4&gt;=$H11,kalkulator!$P$8," ")</f>
        <v xml:space="preserve"> </v>
      </c>
      <c r="O11" s="53" t="str">
        <f t="shared" si="1"/>
        <v xml:space="preserve"> </v>
      </c>
    </row>
    <row r="12" spans="1:16" x14ac:dyDescent="0.35">
      <c r="A12" t="s">
        <v>160</v>
      </c>
      <c r="C12" s="45">
        <v>60</v>
      </c>
      <c r="H12">
        <v>11</v>
      </c>
      <c r="I12" t="str">
        <f>IF($D$4&gt;=$H12,11," ")</f>
        <v xml:space="preserve"> </v>
      </c>
      <c r="J12">
        <v>4</v>
      </c>
      <c r="K12" s="54" t="str">
        <f t="shared" si="0"/>
        <v xml:space="preserve"> </v>
      </c>
      <c r="L12" t="str">
        <f>IF($D$4&gt;=$H12,11,"")</f>
        <v/>
      </c>
      <c r="M12" s="53" t="str">
        <f t="shared" si="2"/>
        <v xml:space="preserve"> </v>
      </c>
      <c r="N12" s="53" t="str">
        <f>IF($D$4&gt;=$H12,kalkulator!$P$8," ")</f>
        <v xml:space="preserve"> </v>
      </c>
      <c r="O12" s="53" t="str">
        <f t="shared" si="1"/>
        <v xml:space="preserve"> </v>
      </c>
    </row>
    <row r="13" spans="1:16" x14ac:dyDescent="0.35">
      <c r="A13" t="s">
        <v>161</v>
      </c>
      <c r="B13" s="46">
        <v>0.1</v>
      </c>
      <c r="C13" s="47">
        <f>C11*B13</f>
        <v>10000</v>
      </c>
      <c r="H13">
        <v>12</v>
      </c>
      <c r="I13" t="str">
        <f>IF($D$4&gt;=$H13,12," ")</f>
        <v xml:space="preserve"> </v>
      </c>
      <c r="J13">
        <v>4</v>
      </c>
      <c r="K13" s="54" t="str">
        <f t="shared" si="0"/>
        <v xml:space="preserve"> </v>
      </c>
      <c r="L13" t="str">
        <f>IF($D$4&gt;=$H13,12,"")</f>
        <v/>
      </c>
      <c r="M13" s="53" t="str">
        <f t="shared" si="2"/>
        <v xml:space="preserve"> </v>
      </c>
      <c r="N13" s="53" t="str">
        <f>IF($D$4&gt;=$H13,kalkulator!$P$8," ")</f>
        <v xml:space="preserve"> </v>
      </c>
      <c r="O13" s="53" t="str">
        <f t="shared" si="1"/>
        <v xml:space="preserve"> </v>
      </c>
    </row>
    <row r="14" spans="1:16" x14ac:dyDescent="0.35">
      <c r="A14" t="s">
        <v>162</v>
      </c>
      <c r="B14" s="46">
        <v>0.2</v>
      </c>
      <c r="C14" s="47">
        <f>C11*B14</f>
        <v>20000</v>
      </c>
      <c r="F14">
        <f>4/12</f>
        <v>0.33333333333333331</v>
      </c>
      <c r="H14">
        <v>13</v>
      </c>
      <c r="I14" t="str">
        <f>IF($D$4&gt;=$H14,13," ")</f>
        <v xml:space="preserve"> </v>
      </c>
      <c r="J14">
        <v>3</v>
      </c>
      <c r="K14" s="54" t="str">
        <f t="shared" si="0"/>
        <v xml:space="preserve"> </v>
      </c>
      <c r="L14" t="str">
        <f>IF($D$4&gt;=$H14,13,"")</f>
        <v/>
      </c>
      <c r="M14" s="53" t="str">
        <f t="shared" si="2"/>
        <v xml:space="preserve"> </v>
      </c>
      <c r="N14" s="53" t="str">
        <f>IF($D$4&gt;=$H14,kalkulator!$P$8," ")</f>
        <v xml:space="preserve"> </v>
      </c>
      <c r="O14" s="53" t="str">
        <f>IF($D$4&gt;=$H14,IF($A$2="kwartał",$M14*3,IF($A$2="6 miesięcy",$M14*6,$M14*12))," ")</f>
        <v xml:space="preserve"> </v>
      </c>
    </row>
    <row r="15" spans="1:16" x14ac:dyDescent="0.35">
      <c r="A15" t="s">
        <v>163</v>
      </c>
      <c r="B15" s="48">
        <v>2.5000000000000001E-2</v>
      </c>
      <c r="C15" s="49">
        <v>2.5000000000000001E-2</v>
      </c>
      <c r="H15">
        <v>14</v>
      </c>
      <c r="I15" t="str">
        <f>IF($D$4&gt;=$H15,14," ")</f>
        <v xml:space="preserve"> </v>
      </c>
      <c r="J15">
        <v>2</v>
      </c>
      <c r="K15" s="54" t="str">
        <f t="shared" si="0"/>
        <v xml:space="preserve"> </v>
      </c>
      <c r="L15" t="str">
        <f>IF($D$4&gt;=$H15,14,"")</f>
        <v/>
      </c>
      <c r="M15" s="53" t="str">
        <f t="shared" si="2"/>
        <v xml:space="preserve"> </v>
      </c>
      <c r="N15" s="53" t="str">
        <f>IF($D$4&gt;=$H15,kalkulator!$P$8," ")</f>
        <v xml:space="preserve"> </v>
      </c>
      <c r="O15" s="53" t="str">
        <f t="shared" si="1"/>
        <v xml:space="preserve"> </v>
      </c>
    </row>
    <row r="16" spans="1:16" x14ac:dyDescent="0.35">
      <c r="A16" t="s">
        <v>164</v>
      </c>
      <c r="B16" s="48">
        <f>B15+C15</f>
        <v>0.05</v>
      </c>
      <c r="H16">
        <v>15</v>
      </c>
      <c r="I16" t="str">
        <f>IF($D$4&gt;=$H16,15," ")</f>
        <v xml:space="preserve"> </v>
      </c>
      <c r="J16">
        <v>0.1</v>
      </c>
      <c r="K16" s="54" t="str">
        <f t="shared" si="0"/>
        <v xml:space="preserve"> </v>
      </c>
      <c r="L16" t="str">
        <f>IF($D$4&gt;=$H16,15,"")</f>
        <v/>
      </c>
      <c r="M16" s="53" t="str">
        <f t="shared" si="2"/>
        <v xml:space="preserve"> </v>
      </c>
      <c r="N16" s="53" t="str">
        <f>IF($D$4&gt;=$H16,kalkulator!$P$8," ")</f>
        <v xml:space="preserve"> </v>
      </c>
      <c r="O16" s="53" t="str">
        <f t="shared" si="1"/>
        <v xml:space="preserve"> </v>
      </c>
    </row>
    <row r="17" spans="1:15" x14ac:dyDescent="0.35">
      <c r="A17" t="s">
        <v>165</v>
      </c>
      <c r="B17" s="48">
        <v>0</v>
      </c>
      <c r="C17">
        <f>C11*B17</f>
        <v>0</v>
      </c>
      <c r="H17">
        <v>16</v>
      </c>
      <c r="I17" t="str">
        <f>IF($D$4&gt;=$H17,16," ")</f>
        <v xml:space="preserve"> </v>
      </c>
      <c r="J17">
        <v>1</v>
      </c>
      <c r="K17" s="54" t="str">
        <f t="shared" si="0"/>
        <v xml:space="preserve"> </v>
      </c>
      <c r="L17" t="str">
        <f>IF($D$4&gt;=$H17,16,"")</f>
        <v/>
      </c>
      <c r="M17" s="53" t="str">
        <f t="shared" si="2"/>
        <v xml:space="preserve"> </v>
      </c>
      <c r="N17" s="53" t="str">
        <f>IF($D$4&gt;=$H17,kalkulator!$P$8," ")</f>
        <v xml:space="preserve"> </v>
      </c>
      <c r="O17" s="53" t="str">
        <f t="shared" si="1"/>
        <v xml:space="preserve"> </v>
      </c>
    </row>
    <row r="18" spans="1:15" x14ac:dyDescent="0.35">
      <c r="B18" s="48"/>
      <c r="H18">
        <v>17</v>
      </c>
      <c r="I18" t="str">
        <f>IF($D$4&gt;=$H18,17," ")</f>
        <v xml:space="preserve"> </v>
      </c>
      <c r="J18">
        <v>1</v>
      </c>
      <c r="K18" s="54" t="str">
        <f t="shared" si="0"/>
        <v xml:space="preserve"> </v>
      </c>
      <c r="L18" t="str">
        <f>IF($D$4&gt;=$H18,17,"")</f>
        <v/>
      </c>
      <c r="M18" s="53" t="str">
        <f t="shared" si="2"/>
        <v xml:space="preserve"> </v>
      </c>
      <c r="N18" s="53" t="str">
        <f>IF($D$4&gt;=$H18,kalkulator!$P$8," ")</f>
        <v xml:space="preserve"> </v>
      </c>
      <c r="O18" s="53" t="str">
        <f t="shared" si="1"/>
        <v xml:space="preserve"> </v>
      </c>
    </row>
    <row r="19" spans="1:15" x14ac:dyDescent="0.35">
      <c r="H19">
        <v>18</v>
      </c>
      <c r="I19" t="str">
        <f>IF($D$4&gt;=$H19,18," ")</f>
        <v xml:space="preserve"> </v>
      </c>
      <c r="J19">
        <v>1</v>
      </c>
      <c r="K19" s="54" t="str">
        <f t="shared" si="0"/>
        <v xml:space="preserve"> </v>
      </c>
      <c r="L19" t="str">
        <f>IF($D$4&gt;=$H19,18,"")</f>
        <v/>
      </c>
      <c r="M19" s="53" t="str">
        <f t="shared" si="2"/>
        <v xml:space="preserve"> </v>
      </c>
      <c r="N19" s="53" t="str">
        <f>IF($D$4&gt;=$H19,kalkulator!$P$8," ")</f>
        <v xml:space="preserve"> </v>
      </c>
      <c r="O19" s="53" t="str">
        <f t="shared" si="1"/>
        <v xml:space="preserve"> </v>
      </c>
    </row>
    <row r="20" spans="1:15" x14ac:dyDescent="0.35">
      <c r="A20" t="s">
        <v>6</v>
      </c>
      <c r="B20" s="50">
        <f>B16/12</f>
        <v>4.1666666666666666E-3</v>
      </c>
      <c r="H20">
        <v>19</v>
      </c>
      <c r="I20" t="str">
        <f>IF($D$4&gt;=$H20,19," ")</f>
        <v xml:space="preserve"> </v>
      </c>
      <c r="J20">
        <v>1</v>
      </c>
      <c r="K20" s="54" t="str">
        <f t="shared" si="0"/>
        <v xml:space="preserve"> </v>
      </c>
      <c r="L20" t="str">
        <f>IF($D$4&gt;=$H20,19,"")</f>
        <v/>
      </c>
      <c r="M20" s="53" t="str">
        <f t="shared" si="2"/>
        <v xml:space="preserve"> </v>
      </c>
      <c r="N20" s="53" t="str">
        <f>IF($D$4&gt;=$H20,kalkulator!$P$8," ")</f>
        <v xml:space="preserve"> </v>
      </c>
      <c r="O20" s="53" t="str">
        <f t="shared" si="1"/>
        <v xml:space="preserve"> </v>
      </c>
    </row>
    <row r="21" spans="1:15" x14ac:dyDescent="0.35">
      <c r="A21" t="s">
        <v>166</v>
      </c>
      <c r="C21" s="47">
        <f>C11-C13+C17</f>
        <v>90000</v>
      </c>
      <c r="H21">
        <v>20</v>
      </c>
      <c r="I21" t="str">
        <f>IF($D$4&gt;=$H21,20," ")</f>
        <v xml:space="preserve"> </v>
      </c>
      <c r="J21">
        <v>1</v>
      </c>
      <c r="K21" s="54" t="str">
        <f t="shared" si="0"/>
        <v xml:space="preserve"> </v>
      </c>
      <c r="L21" t="str">
        <f>IF($D$4&gt;=$H21,20,"")</f>
        <v/>
      </c>
      <c r="M21" s="53" t="str">
        <f t="shared" si="2"/>
        <v xml:space="preserve"> </v>
      </c>
      <c r="N21" s="53" t="str">
        <f>IF($D$4&gt;=$H21,kalkulator!$P$8," ")</f>
        <v xml:space="preserve"> </v>
      </c>
      <c r="O21" s="53" t="str">
        <f t="shared" si="1"/>
        <v xml:space="preserve"> </v>
      </c>
    </row>
    <row r="22" spans="1:15" x14ac:dyDescent="0.35">
      <c r="A22" t="s">
        <v>167</v>
      </c>
      <c r="C22" s="51">
        <f>(((C21*B20*((1+B20)^C12))-(C14*B20)))/(((1+B20)^C12)-1)</f>
        <v>1404.3196884140946</v>
      </c>
    </row>
    <row r="23" spans="1:15" x14ac:dyDescent="0.35">
      <c r="A23" t="s">
        <v>168</v>
      </c>
      <c r="C23" s="47">
        <f>C22*C12</f>
        <v>84259.181304845668</v>
      </c>
    </row>
    <row r="24" spans="1:15" x14ac:dyDescent="0.35">
      <c r="A24" t="s">
        <v>169</v>
      </c>
      <c r="B24" s="52" t="s">
        <v>186</v>
      </c>
      <c r="C24" s="47">
        <f>C13+C23+C14</f>
        <v>114259.18130484567</v>
      </c>
      <c r="I24" t="e">
        <f ca="1">OFFSET($L$2,0,0,COUNT($L$2:$L$21),1)</f>
        <v>#VALUE!</v>
      </c>
      <c r="N24" s="53" t="s">
        <v>178</v>
      </c>
      <c r="O24" s="53">
        <f>SUM(O2:O23)</f>
        <v>78142.532894120668</v>
      </c>
    </row>
    <row r="25" spans="1:15" x14ac:dyDescent="0.35">
      <c r="A25" t="s">
        <v>170</v>
      </c>
      <c r="B25" s="52">
        <f>C22/C11</f>
        <v>1.4043196884140945E-2</v>
      </c>
      <c r="I25" t="e">
        <f ca="1">OFFSET($M$2,0,0,COUNT($M$2:$M$21),1)</f>
        <v>#VALUE!</v>
      </c>
      <c r="N25" s="53" t="s">
        <v>173</v>
      </c>
      <c r="O25" s="53">
        <f>O24/B4</f>
        <v>1302.3755482353445</v>
      </c>
    </row>
    <row r="26" spans="1:15" x14ac:dyDescent="0.35">
      <c r="I26" t="e">
        <f ca="1">OFFSET($N$2,0,0,COUNT($N$2:$N$21),1)</f>
        <v>#VALUE!</v>
      </c>
    </row>
  </sheetData>
  <conditionalFormatting sqref="I2:I21">
    <cfRule type="cellIs" dxfId="4" priority="7" operator="greaterThan">
      <formula>0</formula>
    </cfRule>
    <cfRule type="cellIs" dxfId="3" priority="8" operator="equal">
      <formula>""" """</formula>
    </cfRule>
    <cfRule type="containsBlanks" dxfId="2" priority="10">
      <formula>LEN(TRIM(I2))=0</formula>
    </cfRule>
  </conditionalFormatting>
  <conditionalFormatting sqref="J2:J21">
    <cfRule type="expression" dxfId="1" priority="4">
      <formula>IF($D$4&lt;=$H1,1,"")</formula>
    </cfRule>
  </conditionalFormatting>
  <conditionalFormatting sqref="K2:K21">
    <cfRule type="expression" dxfId="0" priority="1">
      <formula>IF($D$4&gt;=$H2,1,"")</formula>
    </cfRule>
  </conditionalFormatting>
  <conditionalFormatting sqref="M2:M21">
    <cfRule type="colorScale" priority="9">
      <colorScale>
        <cfvo type="min"/>
        <cfvo type="max"/>
        <color theme="9"/>
        <color rgb="FFFF0000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Arkusz4!$A$1:$A$3</xm:f>
          </x14:formula1>
          <xm:sqref>A2</xm:sqref>
        </x14:dataValidation>
      </x14:dataValidation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scenariusz!N2:N21</xm:f>
              <xm:sqref>Q6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2:A3"/>
    </sheetView>
  </sheetViews>
  <sheetFormatPr defaultRowHeight="14.5" x14ac:dyDescent="0.35"/>
  <sheetData>
    <row r="1" spans="1:1" x14ac:dyDescent="0.35">
      <c r="A1" t="s">
        <v>154</v>
      </c>
    </row>
    <row r="2" spans="1:1" x14ac:dyDescent="0.35">
      <c r="A2" t="s">
        <v>156</v>
      </c>
    </row>
    <row r="3" spans="1:1" x14ac:dyDescent="0.35">
      <c r="A3" t="s">
        <v>155</v>
      </c>
    </row>
  </sheetData>
  <sheetProtection password="9195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0"/>
  <sheetViews>
    <sheetView topLeftCell="A4" workbookViewId="0">
      <selection activeCell="F5" sqref="F5"/>
    </sheetView>
  </sheetViews>
  <sheetFormatPr defaultRowHeight="14.5" x14ac:dyDescent="0.35"/>
  <cols>
    <col min="3" max="3" width="15.6328125" customWidth="1"/>
    <col min="6" max="6" width="11.6328125" customWidth="1"/>
  </cols>
  <sheetData>
    <row r="3" spans="1:10" x14ac:dyDescent="0.35">
      <c r="C3" s="19"/>
    </row>
    <row r="4" spans="1:10" x14ac:dyDescent="0.35">
      <c r="B4" s="20" t="s">
        <v>19</v>
      </c>
      <c r="C4" s="20" t="s">
        <v>20</v>
      </c>
      <c r="E4" s="20" t="s">
        <v>21</v>
      </c>
      <c r="F4" s="20" t="s">
        <v>22</v>
      </c>
    </row>
    <row r="5" spans="1:10" ht="87" x14ac:dyDescent="0.35">
      <c r="B5" s="21" t="s">
        <v>23</v>
      </c>
      <c r="C5" s="22">
        <f>-(roboczy!G17)</f>
        <v>-90000</v>
      </c>
      <c r="E5" s="23">
        <f>IRR(C5:C89)</f>
        <v>3.7500000000005862E-3</v>
      </c>
      <c r="F5" s="24">
        <f>E5*12</f>
        <v>4.5000000000007034E-2</v>
      </c>
    </row>
    <row r="6" spans="1:10" x14ac:dyDescent="0.35">
      <c r="A6">
        <v>1</v>
      </c>
      <c r="B6" s="25" t="s">
        <v>24</v>
      </c>
      <c r="C6" s="26">
        <f>roboczy!$N$8</f>
        <v>1662.9787124950117</v>
      </c>
    </row>
    <row r="7" spans="1:10" x14ac:dyDescent="0.35">
      <c r="A7">
        <v>2</v>
      </c>
      <c r="B7" s="27" t="s">
        <v>25</v>
      </c>
      <c r="C7" s="26">
        <f>roboczy!$N$8</f>
        <v>1662.9787124950117</v>
      </c>
    </row>
    <row r="8" spans="1:10" x14ac:dyDescent="0.35">
      <c r="A8">
        <v>3</v>
      </c>
      <c r="B8" s="25" t="s">
        <v>26</v>
      </c>
      <c r="C8" s="26">
        <f>roboczy!$N$8</f>
        <v>1662.9787124950117</v>
      </c>
      <c r="E8" t="s">
        <v>5</v>
      </c>
      <c r="F8" t="s">
        <v>108</v>
      </c>
      <c r="G8" s="1">
        <v>2.2000000000000001E-3</v>
      </c>
    </row>
    <row r="9" spans="1:10" x14ac:dyDescent="0.35">
      <c r="A9">
        <v>4</v>
      </c>
      <c r="B9" s="27" t="s">
        <v>27</v>
      </c>
      <c r="C9" s="26">
        <f>roboczy!$N$8</f>
        <v>1662.9787124950117</v>
      </c>
      <c r="F9" t="s">
        <v>109</v>
      </c>
      <c r="G9" s="1">
        <v>1.8699999999999999E-3</v>
      </c>
    </row>
    <row r="10" spans="1:10" x14ac:dyDescent="0.35">
      <c r="A10">
        <v>5</v>
      </c>
      <c r="B10" s="25" t="s">
        <v>28</v>
      </c>
      <c r="C10" s="26">
        <f>roboczy!$N$8</f>
        <v>1662.9787124950117</v>
      </c>
    </row>
    <row r="11" spans="1:10" x14ac:dyDescent="0.35">
      <c r="A11">
        <v>6</v>
      </c>
      <c r="B11" s="27" t="s">
        <v>29</v>
      </c>
      <c r="C11" s="26">
        <f>roboczy!$N$8</f>
        <v>1662.9787124950117</v>
      </c>
      <c r="E11" t="s">
        <v>110</v>
      </c>
      <c r="J11" s="1">
        <f>E5*12</f>
        <v>4.5000000000007034E-2</v>
      </c>
    </row>
    <row r="12" spans="1:10" x14ac:dyDescent="0.35">
      <c r="A12">
        <v>7</v>
      </c>
      <c r="B12" s="25" t="s">
        <v>30</v>
      </c>
      <c r="C12" s="26">
        <f>roboczy!$N$8</f>
        <v>1662.9787124950117</v>
      </c>
    </row>
    <row r="13" spans="1:10" x14ac:dyDescent="0.35">
      <c r="A13">
        <v>8</v>
      </c>
      <c r="B13" s="27" t="s">
        <v>31</v>
      </c>
      <c r="C13" s="26">
        <f>roboczy!$N$8</f>
        <v>1662.9787124950117</v>
      </c>
      <c r="E13" t="s">
        <v>111</v>
      </c>
      <c r="H13" t="s">
        <v>112</v>
      </c>
      <c r="J13" s="1">
        <f>J11-0.22%</f>
        <v>4.2800000000007034E-2</v>
      </c>
    </row>
    <row r="14" spans="1:10" x14ac:dyDescent="0.35">
      <c r="A14">
        <v>9</v>
      </c>
      <c r="B14" s="25" t="s">
        <v>32</v>
      </c>
      <c r="C14" s="26">
        <f>roboczy!$N$8</f>
        <v>1662.9787124950117</v>
      </c>
      <c r="H14" t="s">
        <v>113</v>
      </c>
      <c r="J14" s="1">
        <f>J11-0.178%</f>
        <v>4.3220000000007038E-2</v>
      </c>
    </row>
    <row r="15" spans="1:10" x14ac:dyDescent="0.35">
      <c r="A15">
        <v>10</v>
      </c>
      <c r="B15" s="27" t="s">
        <v>33</v>
      </c>
      <c r="C15" s="26">
        <f>roboczy!$N$8</f>
        <v>1662.9787124950117</v>
      </c>
    </row>
    <row r="16" spans="1:10" x14ac:dyDescent="0.35">
      <c r="A16">
        <v>11</v>
      </c>
      <c r="B16" s="25" t="s">
        <v>34</v>
      </c>
      <c r="C16" s="26">
        <f>roboczy!$N$8</f>
        <v>1662.9787124950117</v>
      </c>
    </row>
    <row r="17" spans="1:3" x14ac:dyDescent="0.35">
      <c r="A17">
        <v>12</v>
      </c>
      <c r="B17" s="27" t="s">
        <v>35</v>
      </c>
      <c r="C17" s="26">
        <f>roboczy!$N$8</f>
        <v>1662.9787124950117</v>
      </c>
    </row>
    <row r="18" spans="1:3" x14ac:dyDescent="0.35">
      <c r="A18">
        <v>13</v>
      </c>
      <c r="B18" s="25" t="s">
        <v>36</v>
      </c>
      <c r="C18" s="26">
        <f>roboczy!$N$8</f>
        <v>1662.9787124950117</v>
      </c>
    </row>
    <row r="19" spans="1:3" x14ac:dyDescent="0.35">
      <c r="A19">
        <v>14</v>
      </c>
      <c r="B19" s="27" t="s">
        <v>37</v>
      </c>
      <c r="C19" s="26">
        <f>roboczy!$N$8</f>
        <v>1662.9787124950117</v>
      </c>
    </row>
    <row r="20" spans="1:3" x14ac:dyDescent="0.35">
      <c r="A20">
        <v>15</v>
      </c>
      <c r="B20" s="25" t="s">
        <v>38</v>
      </c>
      <c r="C20" s="26">
        <f>roboczy!$N$8</f>
        <v>1662.9787124950117</v>
      </c>
    </row>
    <row r="21" spans="1:3" x14ac:dyDescent="0.35">
      <c r="A21">
        <v>16</v>
      </c>
      <c r="B21" s="27" t="s">
        <v>39</v>
      </c>
      <c r="C21" s="26">
        <f>roboczy!$N$8</f>
        <v>1662.9787124950117</v>
      </c>
    </row>
    <row r="22" spans="1:3" x14ac:dyDescent="0.35">
      <c r="A22">
        <v>17</v>
      </c>
      <c r="B22" s="25" t="s">
        <v>40</v>
      </c>
      <c r="C22" s="26">
        <f>roboczy!$N$8</f>
        <v>1662.9787124950117</v>
      </c>
    </row>
    <row r="23" spans="1:3" x14ac:dyDescent="0.35">
      <c r="A23">
        <v>18</v>
      </c>
      <c r="B23" s="27" t="s">
        <v>41</v>
      </c>
      <c r="C23" s="26">
        <f>roboczy!$N$8</f>
        <v>1662.9787124950117</v>
      </c>
    </row>
    <row r="24" spans="1:3" x14ac:dyDescent="0.35">
      <c r="A24">
        <v>19</v>
      </c>
      <c r="B24" s="25" t="s">
        <v>42</v>
      </c>
      <c r="C24" s="26">
        <f>roboczy!$N$8</f>
        <v>1662.9787124950117</v>
      </c>
    </row>
    <row r="25" spans="1:3" x14ac:dyDescent="0.35">
      <c r="A25">
        <v>20</v>
      </c>
      <c r="B25" s="27" t="s">
        <v>43</v>
      </c>
      <c r="C25" s="26">
        <f>roboczy!$N$8</f>
        <v>1662.9787124950117</v>
      </c>
    </row>
    <row r="26" spans="1:3" x14ac:dyDescent="0.35">
      <c r="A26">
        <v>21</v>
      </c>
      <c r="B26" s="25" t="s">
        <v>44</v>
      </c>
      <c r="C26" s="26">
        <f>roboczy!$N$8</f>
        <v>1662.9787124950117</v>
      </c>
    </row>
    <row r="27" spans="1:3" x14ac:dyDescent="0.35">
      <c r="A27">
        <v>22</v>
      </c>
      <c r="B27" s="27" t="s">
        <v>45</v>
      </c>
      <c r="C27" s="26">
        <f>roboczy!$N$8</f>
        <v>1662.9787124950117</v>
      </c>
    </row>
    <row r="28" spans="1:3" x14ac:dyDescent="0.35">
      <c r="A28">
        <v>23</v>
      </c>
      <c r="B28" s="25" t="s">
        <v>46</v>
      </c>
      <c r="C28" s="26">
        <f>roboczy!$N$8</f>
        <v>1662.9787124950117</v>
      </c>
    </row>
    <row r="29" spans="1:3" x14ac:dyDescent="0.35">
      <c r="A29">
        <v>24</v>
      </c>
      <c r="B29" s="25" t="s">
        <v>47</v>
      </c>
      <c r="C29" s="29">
        <f>IF(roboczy!$G$11=$A29,roboczy!$N$8+roboczy!$H$12,IF(roboczy!$G$11&gt;$A29,roboczy!$N$8,0))</f>
        <v>1662.9787124950117</v>
      </c>
    </row>
    <row r="30" spans="1:3" x14ac:dyDescent="0.35">
      <c r="A30">
        <v>25</v>
      </c>
      <c r="B30" s="25" t="s">
        <v>48</v>
      </c>
      <c r="C30" s="29">
        <f>IF(roboczy!$G$11=$A30,roboczy!$N$8+roboczy!$H$12,IF(roboczy!$G$11&gt;$A30,roboczy!$N$8,0))</f>
        <v>1662.9787124950117</v>
      </c>
    </row>
    <row r="31" spans="1:3" x14ac:dyDescent="0.35">
      <c r="A31">
        <v>26</v>
      </c>
      <c r="B31" s="25" t="s">
        <v>49</v>
      </c>
      <c r="C31" s="29">
        <f>IF(roboczy!$G$11=$A31,roboczy!$N$8+roboczy!$H$12,IF(roboczy!$G$11&gt;$A31,roboczy!$N$8,0))</f>
        <v>1662.9787124950117</v>
      </c>
    </row>
    <row r="32" spans="1:3" x14ac:dyDescent="0.35">
      <c r="A32">
        <v>27</v>
      </c>
      <c r="B32" s="25" t="s">
        <v>50</v>
      </c>
      <c r="C32" s="29">
        <f>IF(roboczy!$G$11=$A32,roboczy!$N$8+roboczy!$H$12,IF(roboczy!$G$11&gt;$A32,roboczy!$N$8,0))</f>
        <v>1662.9787124950117</v>
      </c>
    </row>
    <row r="33" spans="1:3" x14ac:dyDescent="0.35">
      <c r="A33">
        <v>28</v>
      </c>
      <c r="B33" s="25" t="s">
        <v>51</v>
      </c>
      <c r="C33" s="29">
        <f>IF(roboczy!$G$11=$A33,roboczy!$N$8+roboczy!$H$12,IF(roboczy!$G$11&gt;$A33,roboczy!$N$8,0))</f>
        <v>1662.9787124950117</v>
      </c>
    </row>
    <row r="34" spans="1:3" x14ac:dyDescent="0.35">
      <c r="A34">
        <v>29</v>
      </c>
      <c r="B34" s="25" t="s">
        <v>52</v>
      </c>
      <c r="C34" s="29">
        <f>IF(roboczy!$G$11=$A34,roboczy!$N$8+roboczy!$H$12,IF(roboczy!$G$11&gt;$A34,roboczy!$N$8,0))</f>
        <v>1662.9787124950117</v>
      </c>
    </row>
    <row r="35" spans="1:3" x14ac:dyDescent="0.35">
      <c r="A35">
        <v>30</v>
      </c>
      <c r="B35" s="25" t="s">
        <v>53</v>
      </c>
      <c r="C35" s="29">
        <f>IF(roboczy!$G$11=$A35,roboczy!$N$8+roboczy!$H$12,IF(roboczy!$G$11&gt;$A35,roboczy!$N$8,0))</f>
        <v>1662.9787124950117</v>
      </c>
    </row>
    <row r="36" spans="1:3" x14ac:dyDescent="0.35">
      <c r="A36">
        <v>31</v>
      </c>
      <c r="B36" s="25" t="s">
        <v>54</v>
      </c>
      <c r="C36" s="29">
        <f>IF(roboczy!$G$11=$A36,roboczy!$N$8+roboczy!$H$12,IF(roboczy!$G$11&gt;$A36,roboczy!$N$8,0))</f>
        <v>1662.9787124950117</v>
      </c>
    </row>
    <row r="37" spans="1:3" x14ac:dyDescent="0.35">
      <c r="A37">
        <v>32</v>
      </c>
      <c r="B37" s="25" t="s">
        <v>55</v>
      </c>
      <c r="C37" s="29">
        <f>IF(roboczy!$G$11=$A37,roboczy!$N$8+roboczy!$H$12,IF(roboczy!$G$11&gt;$A37,roboczy!$N$8,0))</f>
        <v>1662.9787124950117</v>
      </c>
    </row>
    <row r="38" spans="1:3" x14ac:dyDescent="0.35">
      <c r="A38">
        <v>33</v>
      </c>
      <c r="B38" s="25" t="s">
        <v>56</v>
      </c>
      <c r="C38" s="29">
        <f>IF(roboczy!$G$11=$A38,roboczy!$N$8+roboczy!$H$12,IF(roboczy!$G$11&gt;$A38,roboczy!$N$8,0))</f>
        <v>1662.9787124950117</v>
      </c>
    </row>
    <row r="39" spans="1:3" x14ac:dyDescent="0.35">
      <c r="A39">
        <v>34</v>
      </c>
      <c r="B39" s="25" t="s">
        <v>57</v>
      </c>
      <c r="C39" s="29">
        <f>IF(roboczy!$G$11=$A39,roboczy!$N$8+roboczy!$H$12,IF(roboczy!$G$11&gt;$A39,roboczy!$N$8,0))</f>
        <v>1662.9787124950117</v>
      </c>
    </row>
    <row r="40" spans="1:3" x14ac:dyDescent="0.35">
      <c r="A40">
        <v>35</v>
      </c>
      <c r="B40" s="25" t="s">
        <v>58</v>
      </c>
      <c r="C40" s="29">
        <f>IF(roboczy!$G$11=$A40,roboczy!$N$8+roboczy!$H$12,IF(roboczy!$G$11&gt;$A40,roboczy!$N$8,0))</f>
        <v>1662.9787124950117</v>
      </c>
    </row>
    <row r="41" spans="1:3" x14ac:dyDescent="0.35">
      <c r="A41">
        <v>36</v>
      </c>
      <c r="B41" s="25" t="s">
        <v>59</v>
      </c>
      <c r="C41" s="29">
        <f>IF(roboczy!$G$11=$A41,roboczy!$N$8+roboczy!$H$12,IF(roboczy!$G$11&gt;$A41,roboczy!$N$8,0))</f>
        <v>1662.9787124950117</v>
      </c>
    </row>
    <row r="42" spans="1:3" x14ac:dyDescent="0.35">
      <c r="A42">
        <v>37</v>
      </c>
      <c r="B42" s="25" t="s">
        <v>60</v>
      </c>
      <c r="C42" s="29">
        <f>IF(roboczy!$G$11=$A42,roboczy!$N$8+roboczy!$H$12,IF(roboczy!$G$11&gt;$A42,roboczy!$N$8,0))</f>
        <v>1662.9787124950117</v>
      </c>
    </row>
    <row r="43" spans="1:3" x14ac:dyDescent="0.35">
      <c r="A43">
        <v>38</v>
      </c>
      <c r="B43" s="25" t="s">
        <v>61</v>
      </c>
      <c r="C43" s="29">
        <f>IF(roboczy!$G$11=$A43,roboczy!$N$8+roboczy!$H$12,IF(roboczy!$G$11&gt;$A43,roboczy!$N$8,0))</f>
        <v>1662.9787124950117</v>
      </c>
    </row>
    <row r="44" spans="1:3" x14ac:dyDescent="0.35">
      <c r="A44">
        <v>39</v>
      </c>
      <c r="B44" s="25" t="s">
        <v>62</v>
      </c>
      <c r="C44" s="29">
        <f>IF(roboczy!$G$11=$A44,roboczy!$N$8+roboczy!$H$12,IF(roboczy!$G$11&gt;$A44,roboczy!$N$8,0))</f>
        <v>1662.9787124950117</v>
      </c>
    </row>
    <row r="45" spans="1:3" x14ac:dyDescent="0.35">
      <c r="A45">
        <v>40</v>
      </c>
      <c r="B45" s="25" t="s">
        <v>63</v>
      </c>
      <c r="C45" s="29">
        <f>IF(roboczy!$G$11=$A45,roboczy!$N$8+roboczy!$H$12,IF(roboczy!$G$11&gt;$A45,roboczy!$N$8,0))</f>
        <v>1662.9787124950117</v>
      </c>
    </row>
    <row r="46" spans="1:3" x14ac:dyDescent="0.35">
      <c r="A46">
        <v>41</v>
      </c>
      <c r="B46" s="25" t="s">
        <v>64</v>
      </c>
      <c r="C46" s="29">
        <f>IF(roboczy!$G$11=$A46,roboczy!$N$8+roboczy!$H$12,IF(roboczy!$G$11&gt;$A46,roboczy!$N$8,0))</f>
        <v>1662.9787124950117</v>
      </c>
    </row>
    <row r="47" spans="1:3" x14ac:dyDescent="0.35">
      <c r="A47">
        <v>42</v>
      </c>
      <c r="B47" s="25" t="s">
        <v>65</v>
      </c>
      <c r="C47" s="29">
        <f>IF(roboczy!$G$11=$A47,roboczy!$N$8+roboczy!$H$12,IF(roboczy!$G$11&gt;$A47,roboczy!$N$8,0))</f>
        <v>1662.9787124950117</v>
      </c>
    </row>
    <row r="48" spans="1:3" x14ac:dyDescent="0.35">
      <c r="A48">
        <v>43</v>
      </c>
      <c r="B48" s="25" t="s">
        <v>66</v>
      </c>
      <c r="C48" s="29">
        <f>IF(roboczy!$G$11=$A48,roboczy!$N$8+roboczy!$H$12,IF(roboczy!$G$11&gt;$A48,roboczy!$N$8,0))</f>
        <v>1662.9787124950117</v>
      </c>
    </row>
    <row r="49" spans="1:3" x14ac:dyDescent="0.35">
      <c r="A49">
        <v>44</v>
      </c>
      <c r="B49" s="25" t="s">
        <v>67</v>
      </c>
      <c r="C49" s="29">
        <f>IF(roboczy!$G$11=$A49,roboczy!$N$8+roboczy!$H$12,IF(roboczy!$G$11&gt;$A49,roboczy!$N$8,0))</f>
        <v>1662.9787124950117</v>
      </c>
    </row>
    <row r="50" spans="1:3" x14ac:dyDescent="0.35">
      <c r="A50">
        <v>45</v>
      </c>
      <c r="B50" s="25" t="s">
        <v>68</v>
      </c>
      <c r="C50" s="29">
        <f>IF(roboczy!$G$11=$A50,roboczy!$N$8+roboczy!$H$12,IF(roboczy!$G$11&gt;$A50,roboczy!$N$8,0))</f>
        <v>1662.9787124950117</v>
      </c>
    </row>
    <row r="51" spans="1:3" x14ac:dyDescent="0.35">
      <c r="A51">
        <v>46</v>
      </c>
      <c r="B51" s="25" t="s">
        <v>69</v>
      </c>
      <c r="C51" s="29">
        <f>IF(roboczy!$G$11=$A51,roboczy!$N$8+roboczy!$H$12,IF(roboczy!$G$11&gt;$A51,roboczy!$N$8,0))</f>
        <v>1662.9787124950117</v>
      </c>
    </row>
    <row r="52" spans="1:3" x14ac:dyDescent="0.35">
      <c r="A52">
        <v>47</v>
      </c>
      <c r="B52" s="25" t="s">
        <v>70</v>
      </c>
      <c r="C52" s="29">
        <f>IF(roboczy!$G$11=$A52,roboczy!$N$8+roboczy!$H$12,IF(roboczy!$G$11&gt;$A52,roboczy!$N$8,0))</f>
        <v>1662.9787124950117</v>
      </c>
    </row>
    <row r="53" spans="1:3" x14ac:dyDescent="0.35">
      <c r="A53">
        <v>48</v>
      </c>
      <c r="B53" s="25" t="s">
        <v>71</v>
      </c>
      <c r="C53" s="29">
        <f>IF(roboczy!$G$11=$A53,roboczy!$N$8+roboczy!$H$12,IF(roboczy!$G$11&gt;$A53,roboczy!$N$8,0))</f>
        <v>1662.9787124950117</v>
      </c>
    </row>
    <row r="54" spans="1:3" x14ac:dyDescent="0.35">
      <c r="A54">
        <v>49</v>
      </c>
      <c r="B54" s="25" t="s">
        <v>72</v>
      </c>
      <c r="C54" s="29">
        <f>IF(roboczy!$G$11=$A54,roboczy!$N$8+roboczy!$H$12,IF(roboczy!$G$11&gt;$A54,roboczy!$N$8,0))</f>
        <v>1662.9787124950117</v>
      </c>
    </row>
    <row r="55" spans="1:3" x14ac:dyDescent="0.35">
      <c r="A55">
        <v>50</v>
      </c>
      <c r="B55" s="25" t="s">
        <v>73</v>
      </c>
      <c r="C55" s="29">
        <f>IF(roboczy!$G$11=$A55,roboczy!$N$8+roboczy!$H$12,IF(roboczy!$G$11&gt;$A55,roboczy!$N$8,0))</f>
        <v>1662.9787124950117</v>
      </c>
    </row>
    <row r="56" spans="1:3" x14ac:dyDescent="0.35">
      <c r="A56">
        <v>51</v>
      </c>
      <c r="B56" s="25" t="s">
        <v>74</v>
      </c>
      <c r="C56" s="29">
        <f>IF(roboczy!$G$11=$A56,roboczy!$N$8+roboczy!$H$12,IF(roboczy!$G$11&gt;$A56,roboczy!$N$8,0))</f>
        <v>1662.9787124950117</v>
      </c>
    </row>
    <row r="57" spans="1:3" x14ac:dyDescent="0.35">
      <c r="A57">
        <v>52</v>
      </c>
      <c r="B57" s="25" t="s">
        <v>75</v>
      </c>
      <c r="C57" s="29">
        <f>IF(roboczy!$G$11=$A57,roboczy!$N$8+roboczy!$H$12,IF(roboczy!$G$11&gt;$A57,roboczy!$N$8,0))</f>
        <v>1662.9787124950117</v>
      </c>
    </row>
    <row r="58" spans="1:3" x14ac:dyDescent="0.35">
      <c r="A58">
        <v>53</v>
      </c>
      <c r="B58" s="25" t="s">
        <v>76</v>
      </c>
      <c r="C58" s="29">
        <f>IF(roboczy!$G$11=$A58,roboczy!$N$8+roboczy!$H$12,IF(roboczy!$G$11&gt;$A58,roboczy!$N$8,0))</f>
        <v>1662.9787124950117</v>
      </c>
    </row>
    <row r="59" spans="1:3" x14ac:dyDescent="0.35">
      <c r="A59">
        <v>54</v>
      </c>
      <c r="B59" s="25" t="s">
        <v>77</v>
      </c>
      <c r="C59" s="29">
        <f>IF(roboczy!$G$11=$A59,roboczy!$N$8+roboczy!$H$12,IF(roboczy!$G$11&gt;$A59,roboczy!$N$8,0))</f>
        <v>1662.9787124950117</v>
      </c>
    </row>
    <row r="60" spans="1:3" x14ac:dyDescent="0.35">
      <c r="A60">
        <v>55</v>
      </c>
      <c r="B60" s="25" t="s">
        <v>78</v>
      </c>
      <c r="C60" s="29">
        <f>IF(roboczy!$G$11=$A60,roboczy!$N$8+roboczy!$H$12,IF(roboczy!$G$11&gt;$A60,roboczy!$N$8,0))</f>
        <v>1662.9787124950117</v>
      </c>
    </row>
    <row r="61" spans="1:3" x14ac:dyDescent="0.35">
      <c r="A61">
        <v>56</v>
      </c>
      <c r="B61" s="25" t="s">
        <v>79</v>
      </c>
      <c r="C61" s="29">
        <f>IF(roboczy!$G$11=$A61,roboczy!$N$8+roboczy!$H$12,IF(roboczy!$G$11&gt;$A61,roboczy!$N$8,0))</f>
        <v>1662.9787124950117</v>
      </c>
    </row>
    <row r="62" spans="1:3" x14ac:dyDescent="0.35">
      <c r="A62">
        <v>57</v>
      </c>
      <c r="B62" s="25" t="s">
        <v>80</v>
      </c>
      <c r="C62" s="29">
        <f>IF(roboczy!$G$11=$A62,roboczy!$N$8+roboczy!$H$12,IF(roboczy!$G$11&gt;$A62,roboczy!$N$8,0))</f>
        <v>1662.9787124950117</v>
      </c>
    </row>
    <row r="63" spans="1:3" x14ac:dyDescent="0.35">
      <c r="A63">
        <v>58</v>
      </c>
      <c r="B63" s="25" t="s">
        <v>81</v>
      </c>
      <c r="C63" s="29">
        <f>IF(roboczy!$G$11=$A63,roboczy!$N$8+roboczy!$H$12,IF(roboczy!$G$11&gt;$A63,roboczy!$N$8,0))</f>
        <v>1662.9787124950117</v>
      </c>
    </row>
    <row r="64" spans="1:3" x14ac:dyDescent="0.35">
      <c r="A64">
        <v>59</v>
      </c>
      <c r="B64" s="25" t="s">
        <v>82</v>
      </c>
      <c r="C64" s="29">
        <f>IF(roboczy!$G$11=$A64,roboczy!$N$8+roboczy!$H$12,IF(roboczy!$G$11&gt;$A64,roboczy!$N$8,0))</f>
        <v>1662.9787124950117</v>
      </c>
    </row>
    <row r="65" spans="1:3" x14ac:dyDescent="0.35">
      <c r="A65">
        <v>60</v>
      </c>
      <c r="B65" s="25" t="s">
        <v>83</v>
      </c>
      <c r="C65" s="29">
        <f>IF(roboczy!$G$11=$A65,roboczy!$N$8+roboczy!$H$12,IF(roboczy!$G$11&gt;$A65,roboczy!$N$8,0))</f>
        <v>2662.9787124950117</v>
      </c>
    </row>
    <row r="66" spans="1:3" x14ac:dyDescent="0.35">
      <c r="A66">
        <v>61</v>
      </c>
      <c r="B66" s="25" t="s">
        <v>84</v>
      </c>
      <c r="C66" s="29">
        <f>IF(roboczy!$G$11=$A66,roboczy!$N$8+roboczy!$H$12,IF(roboczy!$G$11&gt;$A66,roboczy!$N$8,0))</f>
        <v>0</v>
      </c>
    </row>
    <row r="67" spans="1:3" x14ac:dyDescent="0.35">
      <c r="A67">
        <v>62</v>
      </c>
      <c r="B67" s="25" t="s">
        <v>85</v>
      </c>
      <c r="C67" s="29">
        <f>IF(roboczy!$G$11=$A67,roboczy!$N$8+roboczy!$H$12,IF(roboczy!$G$11&gt;$A67,roboczy!$N$8,0))</f>
        <v>0</v>
      </c>
    </row>
    <row r="68" spans="1:3" x14ac:dyDescent="0.35">
      <c r="A68">
        <v>63</v>
      </c>
      <c r="B68" s="25" t="s">
        <v>86</v>
      </c>
      <c r="C68" s="29">
        <f>IF(roboczy!$G$11=$A68,roboczy!$N$8+roboczy!$H$12,IF(roboczy!$G$11&gt;$A68,roboczy!$N$8,0))</f>
        <v>0</v>
      </c>
    </row>
    <row r="69" spans="1:3" x14ac:dyDescent="0.35">
      <c r="A69">
        <v>64</v>
      </c>
      <c r="B69" s="25" t="s">
        <v>87</v>
      </c>
      <c r="C69" s="29">
        <f>IF(roboczy!$G$11=$A69,roboczy!$N$8+roboczy!$H$12,IF(roboczy!$G$11&gt;$A69,roboczy!$N$8,0))</f>
        <v>0</v>
      </c>
    </row>
    <row r="70" spans="1:3" x14ac:dyDescent="0.35">
      <c r="A70">
        <v>65</v>
      </c>
      <c r="B70" s="25" t="s">
        <v>88</v>
      </c>
      <c r="C70" s="29">
        <f>IF(roboczy!$G$11=$A70,roboczy!$N$8+roboczy!$H$12,IF(roboczy!$G$11&gt;$A70,roboczy!$N$8,0))</f>
        <v>0</v>
      </c>
    </row>
    <row r="71" spans="1:3" x14ac:dyDescent="0.35">
      <c r="A71">
        <v>66</v>
      </c>
      <c r="B71" s="25" t="s">
        <v>89</v>
      </c>
      <c r="C71" s="29">
        <f>IF(roboczy!$G$11=$A71,roboczy!$N$8+roboczy!$H$12,IF(roboczy!$G$11&gt;$A71,roboczy!$N$8,0))</f>
        <v>0</v>
      </c>
    </row>
    <row r="72" spans="1:3" x14ac:dyDescent="0.35">
      <c r="A72">
        <v>67</v>
      </c>
      <c r="B72" s="25" t="s">
        <v>90</v>
      </c>
      <c r="C72" s="29">
        <f>IF(roboczy!$G$11=$A72,roboczy!$N$8+roboczy!$H$12,IF(roboczy!$G$11&gt;$A72,roboczy!$N$8,0))</f>
        <v>0</v>
      </c>
    </row>
    <row r="73" spans="1:3" x14ac:dyDescent="0.35">
      <c r="A73">
        <v>68</v>
      </c>
      <c r="B73" s="25" t="s">
        <v>91</v>
      </c>
      <c r="C73" s="29">
        <f>IF(roboczy!$G$11=$A73,roboczy!$N$8+roboczy!$H$12,IF(roboczy!$G$11&gt;$A73,roboczy!$N$8,0))</f>
        <v>0</v>
      </c>
    </row>
    <row r="74" spans="1:3" x14ac:dyDescent="0.35">
      <c r="A74">
        <v>69</v>
      </c>
      <c r="B74" s="25" t="s">
        <v>92</v>
      </c>
      <c r="C74" s="29">
        <f>IF(roboczy!$G$11=$A74,roboczy!$N$8+roboczy!$H$12,IF(roboczy!$G$11&gt;$A74,roboczy!$N$8,0))</f>
        <v>0</v>
      </c>
    </row>
    <row r="75" spans="1:3" x14ac:dyDescent="0.35">
      <c r="A75">
        <v>70</v>
      </c>
      <c r="B75" s="25" t="s">
        <v>93</v>
      </c>
      <c r="C75" s="29">
        <f>IF(roboczy!$G$11=$A75,roboczy!$N$8+roboczy!$H$12,IF(roboczy!$G$11&gt;$A75,roboczy!$N$8,0))</f>
        <v>0</v>
      </c>
    </row>
    <row r="76" spans="1:3" x14ac:dyDescent="0.35">
      <c r="A76">
        <v>71</v>
      </c>
      <c r="B76" s="25" t="s">
        <v>94</v>
      </c>
      <c r="C76" s="29">
        <f>IF(roboczy!$G$11=$A76,roboczy!$N$8+roboczy!$H$12,IF(roboczy!$G$11&gt;$A76,roboczy!$N$8,0))</f>
        <v>0</v>
      </c>
    </row>
    <row r="77" spans="1:3" x14ac:dyDescent="0.35">
      <c r="A77">
        <v>72</v>
      </c>
      <c r="B77" s="25" t="s">
        <v>95</v>
      </c>
      <c r="C77" s="29">
        <f>IF(roboczy!$G$11=$A77,roboczy!$N$8+roboczy!$H$12,IF(roboczy!$G$11&gt;$A77,roboczy!$N$8,0))</f>
        <v>0</v>
      </c>
    </row>
    <row r="78" spans="1:3" x14ac:dyDescent="0.35">
      <c r="A78">
        <v>73</v>
      </c>
      <c r="B78" s="25" t="s">
        <v>96</v>
      </c>
      <c r="C78" s="29">
        <f>IF(roboczy!$G$11=$A78,roboczy!$N$8+roboczy!$H$12,IF(roboczy!$G$11&gt;$A78,roboczy!$N$8,0))</f>
        <v>0</v>
      </c>
    </row>
    <row r="79" spans="1:3" x14ac:dyDescent="0.35">
      <c r="A79">
        <v>74</v>
      </c>
      <c r="B79" s="25" t="s">
        <v>97</v>
      </c>
      <c r="C79" s="29">
        <f>IF(roboczy!$G$11=$A79,roboczy!$N$8+roboczy!$H$12,IF(roboczy!$G$11&gt;$A79,roboczy!$N$8,0))</f>
        <v>0</v>
      </c>
    </row>
    <row r="80" spans="1:3" x14ac:dyDescent="0.35">
      <c r="A80">
        <v>75</v>
      </c>
      <c r="B80" s="25" t="s">
        <v>98</v>
      </c>
      <c r="C80" s="29">
        <f>IF(roboczy!$G$11=$A80,roboczy!$N$8+roboczy!$H$12,IF(roboczy!$G$11&gt;$A80,roboczy!$N$8,0))</f>
        <v>0</v>
      </c>
    </row>
    <row r="81" spans="1:3" x14ac:dyDescent="0.35">
      <c r="A81">
        <v>76</v>
      </c>
      <c r="B81" s="25" t="s">
        <v>99</v>
      </c>
      <c r="C81" s="29">
        <f>IF(roboczy!$G$11=$A81,roboczy!$N$8+roboczy!$H$12,IF(roboczy!$G$11&gt;$A81,roboczy!$N$8,0))</f>
        <v>0</v>
      </c>
    </row>
    <row r="82" spans="1:3" x14ac:dyDescent="0.35">
      <c r="A82">
        <v>77</v>
      </c>
      <c r="B82" s="25" t="s">
        <v>100</v>
      </c>
      <c r="C82" s="29">
        <f>IF(roboczy!$G$11=$A82,roboczy!$N$8+roboczy!$H$12,IF(roboczy!$G$11&gt;$A82,roboczy!$N$8,0))</f>
        <v>0</v>
      </c>
    </row>
    <row r="83" spans="1:3" x14ac:dyDescent="0.35">
      <c r="A83">
        <v>78</v>
      </c>
      <c r="B83" s="25" t="s">
        <v>101</v>
      </c>
      <c r="C83" s="29">
        <f>IF(roboczy!$G$11=$A83,roboczy!$N$8+roboczy!$H$12,IF(roboczy!$G$11&gt;$A83,roboczy!$N$8,0))</f>
        <v>0</v>
      </c>
    </row>
    <row r="84" spans="1:3" x14ac:dyDescent="0.35">
      <c r="A84">
        <v>79</v>
      </c>
      <c r="B84" s="25" t="s">
        <v>102</v>
      </c>
      <c r="C84" s="29">
        <f>IF(roboczy!$G$11=$A84,roboczy!$N$8+roboczy!$H$12,IF(roboczy!$G$11&gt;$A84,roboczy!$N$8,0))</f>
        <v>0</v>
      </c>
    </row>
    <row r="85" spans="1:3" x14ac:dyDescent="0.35">
      <c r="A85">
        <v>80</v>
      </c>
      <c r="B85" s="25" t="s">
        <v>103</v>
      </c>
      <c r="C85" s="29">
        <f>IF(roboczy!$G$11=$A85,roboczy!$N$8+roboczy!$H$12,IF(roboczy!$G$11&gt;$A85,roboczy!$N$8,0))</f>
        <v>0</v>
      </c>
    </row>
    <row r="86" spans="1:3" x14ac:dyDescent="0.35">
      <c r="A86">
        <v>81</v>
      </c>
      <c r="B86" s="25" t="s">
        <v>104</v>
      </c>
      <c r="C86" s="29">
        <f>IF(roboczy!$G$11=$A86,roboczy!$N$8+roboczy!$H$12,IF(roboczy!$G$11&gt;$A86,roboczy!$N$8,0))</f>
        <v>0</v>
      </c>
    </row>
    <row r="87" spans="1:3" x14ac:dyDescent="0.35">
      <c r="A87">
        <v>82</v>
      </c>
      <c r="B87" s="25" t="s">
        <v>105</v>
      </c>
      <c r="C87" s="29">
        <f>IF(roboczy!$G$11=$A87,roboczy!$N$8+roboczy!$H$12,IF(roboczy!$G$11&gt;$A87,roboczy!$N$8,0))</f>
        <v>0</v>
      </c>
    </row>
    <row r="88" spans="1:3" x14ac:dyDescent="0.35">
      <c r="A88">
        <v>83</v>
      </c>
      <c r="B88" s="25" t="s">
        <v>106</v>
      </c>
      <c r="C88" s="29">
        <f>IF(roboczy!$G$11=$A88,roboczy!$N$8+roboczy!$H$12,IF(roboczy!$G$11&gt;$A88,roboczy!$N$8,0))</f>
        <v>0</v>
      </c>
    </row>
    <row r="89" spans="1:3" x14ac:dyDescent="0.35">
      <c r="A89">
        <v>84</v>
      </c>
      <c r="B89" s="25" t="s">
        <v>107</v>
      </c>
      <c r="C89" s="29">
        <f>IF(roboczy!$G$11=$A89,roboczy!$N$8+roboczy!$H$12,IF(roboczy!$G$11&gt;$A89,roboczy!$N$8,0))</f>
        <v>0</v>
      </c>
    </row>
    <row r="90" spans="1:3" x14ac:dyDescent="0.35">
      <c r="B90" s="28"/>
      <c r="C90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workbookViewId="0">
      <selection activeCell="I5" sqref="I5"/>
    </sheetView>
  </sheetViews>
  <sheetFormatPr defaultRowHeight="14.5" x14ac:dyDescent="0.35"/>
  <cols>
    <col min="2" max="2" width="10" bestFit="1" customWidth="1"/>
    <col min="3" max="3" width="6" bestFit="1" customWidth="1"/>
    <col min="4" max="4" width="10.08984375" bestFit="1" customWidth="1"/>
    <col min="5" max="5" width="10" bestFit="1" customWidth="1"/>
    <col min="6" max="6" width="11" bestFit="1" customWidth="1"/>
    <col min="7" max="7" width="11.36328125" bestFit="1" customWidth="1"/>
  </cols>
  <sheetData>
    <row r="3" spans="2:9" x14ac:dyDescent="0.35">
      <c r="B3" t="s">
        <v>123</v>
      </c>
      <c r="C3" t="s">
        <v>119</v>
      </c>
      <c r="D3" t="s">
        <v>124</v>
      </c>
      <c r="E3" t="s">
        <v>125</v>
      </c>
      <c r="F3" t="s">
        <v>127</v>
      </c>
      <c r="G3" t="s">
        <v>128</v>
      </c>
      <c r="I3" t="s">
        <v>108</v>
      </c>
    </row>
    <row r="4" spans="2:9" x14ac:dyDescent="0.35">
      <c r="E4" t="s">
        <v>126</v>
      </c>
      <c r="F4" t="s">
        <v>126</v>
      </c>
      <c r="I4" t="s">
        <v>109</v>
      </c>
    </row>
    <row r="5" spans="2:9" x14ac:dyDescent="0.35">
      <c r="B5" t="s">
        <v>120</v>
      </c>
      <c r="C5">
        <v>6.55</v>
      </c>
      <c r="D5" s="1">
        <v>1.5E-3</v>
      </c>
      <c r="E5" s="1">
        <v>6.1000000000000004E-3</v>
      </c>
      <c r="F5" s="1">
        <v>0.52680000000000005</v>
      </c>
      <c r="G5" s="31">
        <v>45034</v>
      </c>
    </row>
    <row r="6" spans="2:9" x14ac:dyDescent="0.35">
      <c r="B6" t="s">
        <v>121</v>
      </c>
      <c r="C6">
        <v>6.67</v>
      </c>
      <c r="D6" s="1">
        <v>-4.4999999999999997E-3</v>
      </c>
      <c r="E6" s="1">
        <v>0</v>
      </c>
      <c r="F6" s="1">
        <v>0.47889999999999999</v>
      </c>
      <c r="G6" s="31">
        <v>45034</v>
      </c>
    </row>
    <row r="7" spans="2:9" x14ac:dyDescent="0.35">
      <c r="B7" t="s">
        <v>129</v>
      </c>
      <c r="C7">
        <v>6.83</v>
      </c>
      <c r="D7" s="1">
        <v>0</v>
      </c>
      <c r="E7" s="1">
        <v>1.5E-3</v>
      </c>
      <c r="F7" s="1">
        <v>0.49130000000000001</v>
      </c>
      <c r="G7" s="31">
        <v>45034</v>
      </c>
    </row>
    <row r="8" spans="2:9" x14ac:dyDescent="0.35">
      <c r="B8" t="s">
        <v>130</v>
      </c>
      <c r="C8">
        <v>6.85</v>
      </c>
      <c r="D8" s="1">
        <v>1.5E-3</v>
      </c>
      <c r="E8" s="1">
        <v>0</v>
      </c>
      <c r="F8" s="1">
        <v>0.4859</v>
      </c>
      <c r="G8" s="31">
        <v>45034</v>
      </c>
    </row>
    <row r="9" spans="2:9" x14ac:dyDescent="0.35">
      <c r="B9" t="s">
        <v>112</v>
      </c>
      <c r="C9">
        <v>6.86</v>
      </c>
      <c r="D9" s="1">
        <v>-1.5E-3</v>
      </c>
      <c r="E9" s="1">
        <v>-2.8999999999999998E-3</v>
      </c>
      <c r="F9" s="1">
        <v>0.42320000000000002</v>
      </c>
      <c r="G9" s="31">
        <v>45034</v>
      </c>
    </row>
    <row r="10" spans="2:9" x14ac:dyDescent="0.35">
      <c r="B10" t="s">
        <v>113</v>
      </c>
      <c r="C10">
        <v>6.9</v>
      </c>
      <c r="D10" s="1">
        <v>0</v>
      </c>
      <c r="E10" s="1">
        <v>-4.3E-3</v>
      </c>
      <c r="F10" s="1">
        <v>0.23880000000000001</v>
      </c>
      <c r="G10" s="31">
        <v>45034</v>
      </c>
    </row>
    <row r="11" spans="2:9" x14ac:dyDescent="0.35">
      <c r="B11" t="s">
        <v>122</v>
      </c>
      <c r="C11">
        <v>6.95</v>
      </c>
      <c r="D11" s="1">
        <v>0</v>
      </c>
      <c r="E11" s="1">
        <v>-5.7000000000000002E-3</v>
      </c>
      <c r="F11" s="1">
        <v>0.19209999999999999</v>
      </c>
      <c r="G11" s="31">
        <v>45034</v>
      </c>
    </row>
    <row r="12" spans="2:9" x14ac:dyDescent="0.35">
      <c r="B12" t="s">
        <v>131</v>
      </c>
      <c r="C12">
        <v>7.06</v>
      </c>
      <c r="D12" s="1">
        <v>0</v>
      </c>
      <c r="E12" s="1">
        <v>-5.5999999999999999E-3</v>
      </c>
      <c r="F12" s="1">
        <v>0.16889999999999999</v>
      </c>
      <c r="G12" s="31">
        <v>45034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Arkusz1</vt:lpstr>
      <vt:lpstr>roboczy</vt:lpstr>
      <vt:lpstr>kalkulator</vt:lpstr>
      <vt:lpstr>scenariusz</vt:lpstr>
      <vt:lpstr>Arkusz4</vt:lpstr>
      <vt:lpstr>Arkusz3</vt:lpstr>
      <vt:lpstr>www </vt:lpstr>
      <vt:lpstr>'www '!wibor.money.pl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Baumgart</dc:creator>
  <cp:lastModifiedBy>Grzegorz Baumgart</cp:lastModifiedBy>
  <dcterms:created xsi:type="dcterms:W3CDTF">2020-11-15T13:07:52Z</dcterms:created>
  <dcterms:modified xsi:type="dcterms:W3CDTF">2023-04-19T17:32:06Z</dcterms:modified>
</cp:coreProperties>
</file>